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9.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8.xml" ContentType="application/vnd.openxmlformats-officedocument.drawingml.chart+xml"/>
  <Override PartName="/xl/charts/style2.xml" ContentType="application/vnd.ms-office.chartstyle+xml"/>
  <Override PartName="/xl/charts/colors2.xml" ContentType="application/vnd.ms-office.chartcolorstyle+xml"/>
  <Override PartName="/xl/charts/chart9.xml" ContentType="application/vnd.openxmlformats-officedocument.drawingml.chart+xml"/>
  <Override PartName="/xl/charts/style3.xml" ContentType="application/vnd.ms-office.chartstyle+xml"/>
  <Override PartName="/xl/charts/colors3.xml" ContentType="application/vnd.ms-office.chartcolorstyle+xml"/>
  <Override PartName="/xl/charts/chart10.xml" ContentType="application/vnd.openxmlformats-officedocument.drawingml.chart+xml"/>
  <Override PartName="/xl/charts/style4.xml" ContentType="application/vnd.ms-office.chartstyle+xml"/>
  <Override PartName="/xl/charts/colors4.xml" ContentType="application/vnd.ms-office.chartcolorstyle+xml"/>
  <Override PartName="/xl/charts/chart11.xml" ContentType="application/vnd.openxmlformats-officedocument.drawingml.chart+xml"/>
  <Override PartName="/xl/charts/style5.xml" ContentType="application/vnd.ms-office.chartstyle+xml"/>
  <Override PartName="/xl/charts/colors5.xml" ContentType="application/vnd.ms-office.chartcolorstyle+xml"/>
  <Override PartName="/xl/charts/chart12.xml" ContentType="application/vnd.openxmlformats-officedocument.drawingml.chart+xml"/>
  <Override PartName="/xl/charts/style6.xml" ContentType="application/vnd.ms-office.chartstyle+xml"/>
  <Override PartName="/xl/charts/colors6.xml" ContentType="application/vnd.ms-office.chartcolorstyle+xml"/>
  <Override PartName="/xl/charts/chart13.xml" ContentType="application/vnd.openxmlformats-officedocument.drawingml.chart+xml"/>
  <Override PartName="/xl/charts/style7.xml" ContentType="application/vnd.ms-office.chartstyle+xml"/>
  <Override PartName="/xl/charts/colors7.xml" ContentType="application/vnd.ms-office.chartcolorstyle+xml"/>
  <Override PartName="/xl/charts/chart14.xml" ContentType="application/vnd.openxmlformats-officedocument.drawingml.chart+xml"/>
  <Override PartName="/xl/charts/style8.xml" ContentType="application/vnd.ms-office.chartstyle+xml"/>
  <Override PartName="/xl/charts/colors8.xml" ContentType="application/vnd.ms-office.chartcolorstyle+xml"/>
  <Override PartName="/xl/charts/chart15.xml" ContentType="application/vnd.openxmlformats-officedocument.drawingml.chart+xml"/>
  <Override PartName="/xl/charts/style9.xml" ContentType="application/vnd.ms-office.chartstyle+xml"/>
  <Override PartName="/xl/charts/colors9.xml" ContentType="application/vnd.ms-office.chartcolorstyle+xml"/>
  <Override PartName="/xl/charts/chart16.xml" ContentType="application/vnd.openxmlformats-officedocument.drawingml.chart+xml"/>
  <Override PartName="/xl/charts/style10.xml" ContentType="application/vnd.ms-office.chartstyle+xml"/>
  <Override PartName="/xl/charts/colors10.xml" ContentType="application/vnd.ms-office.chartcolorstyle+xml"/>
  <Override PartName="/xl/charts/chart17.xml" ContentType="application/vnd.openxmlformats-officedocument.drawingml.chart+xml"/>
  <Override PartName="/xl/charts/style11.xml" ContentType="application/vnd.ms-office.chartstyle+xml"/>
  <Override PartName="/xl/charts/colors11.xml" ContentType="application/vnd.ms-office.chartcolorstyle+xml"/>
  <Override PartName="/xl/charts/chart18.xml" ContentType="application/vnd.openxmlformats-officedocument.drawingml.chart+xml"/>
  <Override PartName="/xl/charts/style12.xml" ContentType="application/vnd.ms-office.chartstyle+xml"/>
  <Override PartName="/xl/charts/colors12.xml" ContentType="application/vnd.ms-office.chartcolorstyle+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style13.xml" ContentType="application/vnd.ms-office.chartstyle+xml"/>
  <Override PartName="/xl/charts/colors13.xml" ContentType="application/vnd.ms-office.chartcolorstyle+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0.xml" ContentType="application/vnd.openxmlformats-officedocument.drawing+xml"/>
  <Override PartName="/xl/charts/chart25.xml" ContentType="application/vnd.openxmlformats-officedocument.drawingml.chart+xml"/>
  <Override PartName="/xl/charts/style15.xml" ContentType="application/vnd.ms-office.chartstyle+xml"/>
  <Override PartName="/xl/charts/colors15.xml" ContentType="application/vnd.ms-office.chartcolorstyle+xml"/>
  <Override PartName="/xl/comments2.xml" ContentType="application/vnd.openxmlformats-officedocument.spreadsheetml.comments+xml"/>
  <Override PartName="/xl/threadedComments/threadedComment2.xml" ContentType="application/vnd.ms-excel.threadedcomments+xml"/>
  <Override PartName="/xl/drawings/drawing11.xml" ContentType="application/vnd.openxmlformats-officedocument.drawing+xml"/>
  <Override PartName="/xl/charts/chart26.xml" ContentType="application/vnd.openxmlformats-officedocument.drawingml.chart+xml"/>
  <Override PartName="/xl/charts/style16.xml" ContentType="application/vnd.ms-office.chartstyle+xml"/>
  <Override PartName="/xl/charts/colors16.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updateLinks="never" codeName="ThisWorkbook"/>
  <mc:AlternateContent xmlns:mc="http://schemas.openxmlformats.org/markup-compatibility/2006">
    <mc:Choice Requires="x15">
      <x15ac:absPath xmlns:x15ac="http://schemas.microsoft.com/office/spreadsheetml/2010/11/ac" url="G:\.shortcut-targets-by-id\1xTAQcCOkyhlihSfuPfKJgbXZn-u9OxfZ\03 Solar Cooling Engineering\03 Trainings\00 Trainings Materials\01 Design Tools\2024 New design tools\LCA - Stuart\"/>
    </mc:Choice>
  </mc:AlternateContent>
  <xr:revisionPtr revIDLastSave="0" documentId="13_ncr:1_{3BA248F3-882B-492E-9185-DB7D85FF19D3}" xr6:coauthVersionLast="47" xr6:coauthVersionMax="47" xr10:uidLastSave="{00000000-0000-0000-0000-000000000000}"/>
  <workbookProtection workbookAlgorithmName="SHA-512" workbookHashValue="+odO9X4tNRxkD8INNvZQri4dYk4lXQii/Apsdp2+tLJw/HcwbyFDAqI6gdflRfiARbFxsbIWZyIwPnbD9Ym1Rg==" workbookSaltValue="NrT1nC3pkTW4nn9AHhqNXg==" workbookSpinCount="100000" lockStructure="1"/>
  <bookViews>
    <workbookView xWindow="-120" yWindow="-120" windowWidth="29040" windowHeight="15720" tabRatio="699" xr2:uid="{00000000-000D-0000-FFFF-FFFF00000000}"/>
  </bookViews>
  <sheets>
    <sheet name="READ ME" sheetId="1" r:id="rId1"/>
    <sheet name="1 Geographic Data" sheetId="2" r:id="rId2"/>
    <sheet name="2 Technical Input" sheetId="3" r:id="rId3"/>
    <sheet name="3 Cooling Curve" sheetId="4" state="hidden" r:id="rId4"/>
    <sheet name="3 LCA Input" sheetId="29" r:id="rId5"/>
    <sheet name="4 Technical Design Output" sheetId="5" r:id="rId6"/>
    <sheet name="4 LCA Output" sheetId="30" r:id="rId7"/>
    <sheet name="5 Weather Data" sheetId="6" r:id="rId8"/>
    <sheet name="Calculation Sheet" sheetId="7" state="hidden" r:id="rId9"/>
    <sheet name="LCA calcs" sheetId="28" state="hidden" r:id="rId10"/>
    <sheet name="6 LCA" sheetId="10" state="hidden" r:id="rId11"/>
    <sheet name="Transport" sheetId="12" state="hidden" r:id="rId12"/>
    <sheet name="Charcooler" sheetId="13" state="hidden" r:id="rId13"/>
    <sheet name="Doors" sheetId="14" state="hidden" r:id="rId14"/>
    <sheet name="Water tank" sheetId="15" state="hidden" r:id="rId15"/>
    <sheet name="Bamboo" sheetId="16" state="hidden" r:id="rId16"/>
    <sheet name="Biogenic" sheetId="17" state="hidden" r:id="rId17"/>
    <sheet name="Output" sheetId="18" state="hidden" r:id="rId18"/>
    <sheet name="Ecoboards" sheetId="20" state="hidden" r:id="rId19"/>
    <sheet name="Insulation" sheetId="21" state="hidden" r:id="rId20"/>
    <sheet name="Cooling" sheetId="22" state="hidden" r:id="rId21"/>
    <sheet name="PV" sheetId="23" state="hidden" r:id="rId22"/>
    <sheet name="Batteries" sheetId="24" state="hidden" r:id="rId23"/>
    <sheet name="Foundations" sheetId="25" state="hidden" r:id="rId24"/>
    <sheet name="Timber" sheetId="26" state="hidden" r:id="rId25"/>
    <sheet name="Vapour" sheetId="27" state="hidden" r:id="rId26"/>
    <sheet name="Translation" sheetId="8" state="hidden" r:id="rId27"/>
  </sheets>
  <externalReferences>
    <externalReference r:id="rId28"/>
  </externalReferences>
  <calcPr calcId="191029"/>
  <extLst>
    <ext xmlns:x15="http://schemas.microsoft.com/office/spreadsheetml/2010/11/main" uri="{FCE2AD5D-F65C-4FA6-A056-5C36A1767C68}">
      <x15:dataModel>
        <x15:modelTables>
          <x15:modelTable id="Bamboo_9b1bb3c0-9a04-449d-b782-8189d5b12bff" name="Bamboo" connection="Query - Bamboo"/>
          <x15:modelTable id="Batteries_725d8ca1-6e8b-4bcb-8a21-df5f5efc2d6c" name="Batteries" connection="Query - Batteries"/>
          <x15:modelTable id="Biogenic_70ba1f05-310f-48b3-8b8a-b9f57584dcba" name="Biogenic" connection="Query - Biogenic"/>
          <x15:modelTable id="Charcooler_7fa6bbf2-6d85-41ec-b908-8e1097a2c50c" name="Charcooler" connection="Query - Charcooler"/>
          <x15:modelTable id="Construction_9a29360f-c2c8-4284-9621-0b1e0dedec45" name="Construction" connection="Query - Construction"/>
          <x15:modelTable id="Cooling_1a283bd1-7a47-4315-9d9f-23843ed520f6" name="Cooling" connection="Query - Cooling"/>
          <x15:modelTable id="Doors_80053c0c-264e-4aa3-a122-c3d028b81001" name="Doors" connection="Query - Doors"/>
          <x15:modelTable id="Ecoboards_8d5c192b-e627-42cd-beb6-8dbf481c84ee" name="Ecoboards" connection="Query - Ecoboards"/>
          <x15:modelTable id="figures for pres_563ad929-c133-4c00-b011-ed27d855403b" name="figures for pres" connection="Query - figures for pres"/>
          <x15:modelTable id="Foundations_86bb2f65-aaad-444f-b061-1798f8408abb" name="Foundations" connection="Query - Foundations"/>
          <x15:modelTable id="Insulation_e1fc92bc-56ac-4844-a256-51ee60c2eb17" name="Insulation" connection="Query - Insulation"/>
          <x15:modelTable id="Main_4c1f91d1-41cf-4b7a-b9c9-41685320e680" name="Main" connection="Query - Main"/>
          <x15:modelTable id="Output_1c44a625-128e-426c-a170-3f626a3a2564" name="Output" connection="Query - Output"/>
          <x15:modelTable id="PV_bca46f44-84f6-4100-9ad8-d5326032beef" name="PV" connection="Query - PV"/>
          <x15:modelTable id="Timber_e52012cc-2da6-44f2-9924-e959a6f3ba30" name="Timber" connection="Query - Timber"/>
          <x15:modelTable id="Transport_c2b194f3-b8a8-40f1-88cc-219dc6f3bc9f" name="Transport" connection="Query - Transport"/>
          <x15:modelTable id="Vapour_00b528c6-c283-46de-a73a-ad86e6594fdc" name="Vapour" connection="Query - Vapour"/>
          <x15:modelTable id="Water tank_f2809c9f-efba-47bb-bf02-670050e25d7a" name="Water tank" connection="Query - Water tank"/>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31" roundtripDataChecksum="zqrL4Ydilg7wsOGYZ6ExAjoLD2XKUHNA0NXm95U4ynY="/>
    </ext>
  </extLst>
</workbook>
</file>

<file path=xl/calcChain.xml><?xml version="1.0" encoding="utf-8"?>
<calcChain xmlns="http://schemas.openxmlformats.org/spreadsheetml/2006/main">
  <c r="B66" i="8" l="1"/>
  <c r="I23" i="24"/>
  <c r="J23" i="24"/>
  <c r="C23" i="24"/>
  <c r="D23" i="24"/>
  <c r="E23" i="24"/>
  <c r="F23" i="24"/>
  <c r="H23" i="24"/>
  <c r="G23" i="24"/>
  <c r="B23" i="24"/>
  <c r="G29" i="3"/>
  <c r="N22" i="6" l="1"/>
  <c r="M22" i="6"/>
  <c r="L22" i="6"/>
  <c r="K22" i="6"/>
  <c r="J22" i="6"/>
  <c r="I22" i="6"/>
  <c r="H22" i="6"/>
  <c r="G22" i="6"/>
  <c r="F22" i="6"/>
  <c r="E22" i="6"/>
  <c r="D22" i="6"/>
  <c r="C22" i="6"/>
  <c r="E9" i="30"/>
  <c r="E10" i="30"/>
  <c r="E11" i="30"/>
  <c r="E12" i="30"/>
  <c r="E13" i="30"/>
  <c r="E14" i="30"/>
  <c r="E15" i="30"/>
  <c r="E16" i="30"/>
  <c r="E17" i="30"/>
  <c r="E18" i="30"/>
  <c r="E19" i="30"/>
  <c r="E20" i="30"/>
  <c r="E21" i="30"/>
  <c r="E8" i="30"/>
  <c r="H20" i="30"/>
  <c r="H21" i="30"/>
  <c r="B19" i="30"/>
  <c r="H19" i="30" s="1"/>
  <c r="B18" i="30"/>
  <c r="H18" i="30" s="1"/>
  <c r="B17" i="30"/>
  <c r="H17" i="30" s="1"/>
  <c r="B16" i="30"/>
  <c r="H16" i="30" s="1"/>
  <c r="B15" i="30"/>
  <c r="H15" i="30" s="1"/>
  <c r="B14" i="30"/>
  <c r="H14" i="30" s="1"/>
  <c r="B13" i="30"/>
  <c r="H13" i="30" s="1"/>
  <c r="B12" i="30"/>
  <c r="H12" i="30" s="1"/>
  <c r="B11" i="30"/>
  <c r="H11" i="30" s="1"/>
  <c r="B10" i="30"/>
  <c r="H10" i="30" s="1"/>
  <c r="B9" i="30"/>
  <c r="H9" i="30" s="1"/>
  <c r="B8" i="30"/>
  <c r="H8" i="30" s="1"/>
  <c r="S44" i="10"/>
  <c r="S45" i="10"/>
  <c r="S46" i="10"/>
  <c r="S47" i="10"/>
  <c r="S48" i="10"/>
  <c r="S49" i="10"/>
  <c r="S50" i="10"/>
  <c r="S51" i="10"/>
  <c r="S43" i="10"/>
  <c r="R44" i="10"/>
  <c r="R45" i="10"/>
  <c r="R46" i="10"/>
  <c r="R47" i="10"/>
  <c r="R48" i="10"/>
  <c r="R49" i="10"/>
  <c r="R50" i="10"/>
  <c r="R51" i="10"/>
  <c r="R43" i="10"/>
  <c r="Q44" i="10"/>
  <c r="Q45" i="10"/>
  <c r="Q46" i="10"/>
  <c r="Q47" i="10"/>
  <c r="Q48" i="10"/>
  <c r="Q49" i="10"/>
  <c r="Q50" i="10"/>
  <c r="Q51" i="10"/>
  <c r="Q43" i="10"/>
  <c r="P44" i="10"/>
  <c r="P45" i="10"/>
  <c r="P46" i="10"/>
  <c r="P47" i="10"/>
  <c r="P48" i="10"/>
  <c r="P49" i="10"/>
  <c r="P50" i="10"/>
  <c r="P51" i="10"/>
  <c r="P43" i="10"/>
  <c r="O44" i="10"/>
  <c r="O45" i="10"/>
  <c r="O46" i="10"/>
  <c r="O47" i="10"/>
  <c r="O48" i="10"/>
  <c r="O49" i="10"/>
  <c r="O50" i="10"/>
  <c r="O51" i="10"/>
  <c r="O43" i="10"/>
  <c r="M44" i="10"/>
  <c r="M45" i="10"/>
  <c r="M46" i="10"/>
  <c r="M47" i="10"/>
  <c r="M48" i="10"/>
  <c r="M49" i="10"/>
  <c r="M50" i="10"/>
  <c r="M51" i="10"/>
  <c r="M43" i="10"/>
  <c r="S19" i="10"/>
  <c r="S26" i="10"/>
  <c r="S23" i="10"/>
  <c r="S30" i="10"/>
  <c r="L19" i="10"/>
  <c r="L22" i="10"/>
  <c r="I19" i="18" s="1"/>
  <c r="L26" i="10"/>
  <c r="E44" i="10"/>
  <c r="E45" i="10"/>
  <c r="E46" i="10"/>
  <c r="E47" i="10"/>
  <c r="E48" i="10"/>
  <c r="E43" i="10"/>
  <c r="S37" i="10"/>
  <c r="D55" i="18" s="1"/>
  <c r="S38" i="10"/>
  <c r="C5" i="15" s="1"/>
  <c r="S36" i="10"/>
  <c r="C2" i="15" s="1"/>
  <c r="C3" i="15" s="1"/>
  <c r="E19" i="10"/>
  <c r="B34" i="18" s="1"/>
  <c r="E14" i="10"/>
  <c r="E15" i="10"/>
  <c r="E16" i="10"/>
  <c r="E13" i="10"/>
  <c r="K31" i="18" s="1"/>
  <c r="E7" i="10"/>
  <c r="C21" i="28"/>
  <c r="E25" i="10" s="1"/>
  <c r="C20" i="28"/>
  <c r="E22" i="10"/>
  <c r="C64" i="10" s="1"/>
  <c r="C2" i="28"/>
  <c r="C7" i="28" s="1"/>
  <c r="E56" i="10" s="1"/>
  <c r="C1" i="28"/>
  <c r="L24" i="10"/>
  <c r="L37" i="10"/>
  <c r="L36" i="10"/>
  <c r="E55" i="7"/>
  <c r="G25" i="3"/>
  <c r="I26" i="24"/>
  <c r="J24" i="24"/>
  <c r="I24" i="24"/>
  <c r="J19" i="24"/>
  <c r="F19" i="24"/>
  <c r="J18" i="24"/>
  <c r="F18" i="24"/>
  <c r="J17" i="24"/>
  <c r="F17" i="24"/>
  <c r="J16" i="24"/>
  <c r="F16" i="24"/>
  <c r="J15" i="24"/>
  <c r="F15" i="24"/>
  <c r="J14" i="24"/>
  <c r="F14" i="24"/>
  <c r="J13" i="24"/>
  <c r="F13" i="24"/>
  <c r="J12" i="24"/>
  <c r="F12" i="24"/>
  <c r="J11" i="24"/>
  <c r="F11" i="24"/>
  <c r="J10" i="24"/>
  <c r="F10" i="24"/>
  <c r="J9" i="24"/>
  <c r="F9" i="24"/>
  <c r="J8" i="24"/>
  <c r="F8" i="24"/>
  <c r="J7" i="24"/>
  <c r="F7" i="24"/>
  <c r="J6" i="24"/>
  <c r="F6" i="24"/>
  <c r="J5" i="24"/>
  <c r="F5" i="24"/>
  <c r="J4" i="24"/>
  <c r="F4" i="24"/>
  <c r="J3" i="24"/>
  <c r="F3" i="24"/>
  <c r="J2" i="24"/>
  <c r="F2" i="24"/>
  <c r="C38" i="23"/>
  <c r="C39" i="23" s="1"/>
  <c r="C41" i="23" s="1"/>
  <c r="C43" i="23" s="1"/>
  <c r="C33" i="23"/>
  <c r="C32" i="23"/>
  <c r="C45" i="23" s="1"/>
  <c r="E19" i="23"/>
  <c r="E18" i="23"/>
  <c r="E17" i="23"/>
  <c r="E16" i="23"/>
  <c r="E15" i="23"/>
  <c r="E14" i="23"/>
  <c r="E13" i="23"/>
  <c r="E12" i="23"/>
  <c r="E11" i="23"/>
  <c r="E10" i="23"/>
  <c r="E9" i="23"/>
  <c r="E8" i="23"/>
  <c r="E7" i="23"/>
  <c r="E6" i="23"/>
  <c r="E5" i="23"/>
  <c r="E4" i="23"/>
  <c r="E2" i="23"/>
  <c r="G79" i="21"/>
  <c r="B79" i="21"/>
  <c r="G78" i="21"/>
  <c r="B78" i="21"/>
  <c r="G77" i="21"/>
  <c r="B77" i="21"/>
  <c r="M18" i="14" s="1"/>
  <c r="G76" i="21"/>
  <c r="B76" i="21"/>
  <c r="G75" i="21"/>
  <c r="B75" i="21"/>
  <c r="G74" i="21"/>
  <c r="B74" i="21"/>
  <c r="M15" i="14" s="1"/>
  <c r="G73" i="21"/>
  <c r="B73" i="21"/>
  <c r="M14" i="14" s="1"/>
  <c r="G72" i="21"/>
  <c r="B72" i="21"/>
  <c r="M13" i="14" s="1"/>
  <c r="G71" i="21"/>
  <c r="B71" i="21"/>
  <c r="G70" i="21"/>
  <c r="B70" i="21"/>
  <c r="G69" i="21"/>
  <c r="B69" i="21"/>
  <c r="G68" i="21"/>
  <c r="B68" i="21"/>
  <c r="M9" i="14" s="1"/>
  <c r="G67" i="21"/>
  <c r="B67" i="21"/>
  <c r="G66" i="21"/>
  <c r="B66" i="21"/>
  <c r="M7" i="14" s="1"/>
  <c r="G65" i="21"/>
  <c r="B65" i="21"/>
  <c r="M6" i="14" s="1"/>
  <c r="G64" i="21"/>
  <c r="B64" i="21"/>
  <c r="M5" i="14" s="1"/>
  <c r="G63" i="21"/>
  <c r="B63" i="21"/>
  <c r="G62" i="21"/>
  <c r="B62" i="21"/>
  <c r="I42" i="20"/>
  <c r="I41" i="20"/>
  <c r="I40" i="20"/>
  <c r="I39" i="20"/>
  <c r="I38" i="20"/>
  <c r="I37" i="20"/>
  <c r="I36" i="20"/>
  <c r="I35" i="20"/>
  <c r="I34" i="20"/>
  <c r="I33" i="20"/>
  <c r="I32" i="20"/>
  <c r="I31" i="20"/>
  <c r="I30" i="20"/>
  <c r="I29" i="20"/>
  <c r="I28" i="20"/>
  <c r="I27" i="20"/>
  <c r="I26" i="20"/>
  <c r="I25" i="20"/>
  <c r="P24" i="20"/>
  <c r="M24" i="20"/>
  <c r="L26" i="20" s="1"/>
  <c r="L24" i="20"/>
  <c r="I3" i="20"/>
  <c r="C3" i="20"/>
  <c r="D3" i="20" s="1"/>
  <c r="D2" i="20"/>
  <c r="B61" i="18"/>
  <c r="B60" i="18"/>
  <c r="B59" i="18"/>
  <c r="B58" i="18"/>
  <c r="B57" i="18"/>
  <c r="B56" i="18"/>
  <c r="B55" i="18"/>
  <c r="B54" i="18"/>
  <c r="B53" i="18"/>
  <c r="B52" i="18"/>
  <c r="B51" i="18"/>
  <c r="B50" i="18"/>
  <c r="B49" i="18"/>
  <c r="B48" i="18"/>
  <c r="B47" i="18"/>
  <c r="B46" i="18"/>
  <c r="B45" i="18"/>
  <c r="B44" i="18"/>
  <c r="G40" i="18"/>
  <c r="E40" i="18"/>
  <c r="G39" i="18"/>
  <c r="E39" i="18"/>
  <c r="G38" i="18"/>
  <c r="E38" i="18"/>
  <c r="G37" i="18"/>
  <c r="E37" i="18"/>
  <c r="G36" i="18"/>
  <c r="E36" i="18"/>
  <c r="G35" i="18"/>
  <c r="E35" i="18"/>
  <c r="G34" i="18"/>
  <c r="E34" i="18"/>
  <c r="G33" i="18"/>
  <c r="E33" i="18"/>
  <c r="G32" i="18"/>
  <c r="E32" i="18"/>
  <c r="G31" i="18"/>
  <c r="E31" i="18"/>
  <c r="G30" i="18"/>
  <c r="E30" i="18"/>
  <c r="G29" i="18"/>
  <c r="E29" i="18"/>
  <c r="G28" i="18"/>
  <c r="E28" i="18"/>
  <c r="G27" i="18"/>
  <c r="E27" i="18"/>
  <c r="G26" i="18"/>
  <c r="E26" i="18"/>
  <c r="G25" i="18"/>
  <c r="E25" i="18"/>
  <c r="G24" i="18"/>
  <c r="E24" i="18"/>
  <c r="G23" i="18"/>
  <c r="E23" i="18"/>
  <c r="B17" i="17"/>
  <c r="B18" i="17" s="1"/>
  <c r="B5" i="17"/>
  <c r="F3" i="17"/>
  <c r="F4" i="17" s="1"/>
  <c r="C14" i="16"/>
  <c r="C4" i="16"/>
  <c r="D19" i="15"/>
  <c r="D18" i="15"/>
  <c r="D17" i="15"/>
  <c r="N20" i="14"/>
  <c r="M20" i="14"/>
  <c r="J20" i="14"/>
  <c r="N19" i="14"/>
  <c r="J19" i="14"/>
  <c r="N18" i="14"/>
  <c r="J18" i="14"/>
  <c r="N17" i="14"/>
  <c r="M17" i="14"/>
  <c r="J17" i="14"/>
  <c r="N16" i="14"/>
  <c r="M16" i="14"/>
  <c r="J16" i="14"/>
  <c r="N15" i="14"/>
  <c r="J15" i="14"/>
  <c r="N14" i="14"/>
  <c r="J14" i="14"/>
  <c r="N13" i="14"/>
  <c r="J13" i="14"/>
  <c r="N12" i="14"/>
  <c r="M12" i="14"/>
  <c r="J12" i="14"/>
  <c r="J11" i="14"/>
  <c r="N10" i="14"/>
  <c r="M10" i="14"/>
  <c r="J10" i="14"/>
  <c r="N9" i="14"/>
  <c r="J9" i="14"/>
  <c r="N8" i="14"/>
  <c r="M8" i="14"/>
  <c r="J8" i="14"/>
  <c r="N7" i="14"/>
  <c r="J7" i="14"/>
  <c r="N6" i="14"/>
  <c r="J6" i="14"/>
  <c r="N5" i="14"/>
  <c r="J5" i="14"/>
  <c r="N4" i="14"/>
  <c r="M4" i="14"/>
  <c r="J4" i="14"/>
  <c r="N3" i="14"/>
  <c r="J3" i="14"/>
  <c r="J2" i="13"/>
  <c r="J18" i="13" s="1"/>
  <c r="O86" i="10" s="1"/>
  <c r="D8" i="12"/>
  <c r="D7" i="12"/>
  <c r="D6" i="12"/>
  <c r="D5" i="12"/>
  <c r="D4" i="12"/>
  <c r="D3" i="12"/>
  <c r="D2" i="12"/>
  <c r="AC67" i="10"/>
  <c r="AB67" i="10"/>
  <c r="AA67" i="10"/>
  <c r="Z67" i="10"/>
  <c r="AC66" i="10"/>
  <c r="AB66" i="10"/>
  <c r="AA66" i="10"/>
  <c r="Z66" i="10"/>
  <c r="T65" i="10"/>
  <c r="F65" i="10"/>
  <c r="T52" i="10"/>
  <c r="E27" i="10"/>
  <c r="J19" i="18" l="1"/>
  <c r="I18" i="18"/>
  <c r="J18" i="18" s="1"/>
  <c r="T18" i="14"/>
  <c r="B40" i="18"/>
  <c r="C40" i="18" s="1"/>
  <c r="D40" i="18" s="1"/>
  <c r="B28" i="18"/>
  <c r="C28" i="18" s="1"/>
  <c r="D28" i="18" s="1"/>
  <c r="B35" i="18"/>
  <c r="C35" i="18" s="1"/>
  <c r="D35" i="18" s="1"/>
  <c r="B23" i="18"/>
  <c r="B24" i="18"/>
  <c r="C24" i="18" s="1"/>
  <c r="D24" i="18" s="1"/>
  <c r="B39" i="18"/>
  <c r="B27" i="18"/>
  <c r="C27" i="18" s="1"/>
  <c r="D27" i="18" s="1"/>
  <c r="D56" i="18"/>
  <c r="B36" i="18"/>
  <c r="C36" i="18" s="1"/>
  <c r="D36" i="18" s="1"/>
  <c r="B30" i="18"/>
  <c r="C30" i="18" s="1"/>
  <c r="D30" i="18" s="1"/>
  <c r="Q6" i="14"/>
  <c r="B25" i="18"/>
  <c r="C25" i="18" s="1"/>
  <c r="D25" i="18" s="1"/>
  <c r="B31" i="18"/>
  <c r="C31" i="18" s="1"/>
  <c r="D31" i="18" s="1"/>
  <c r="B38" i="18"/>
  <c r="C38" i="18" s="1"/>
  <c r="D38" i="18" s="1"/>
  <c r="S18" i="14"/>
  <c r="B32" i="18"/>
  <c r="C32" i="18" s="1"/>
  <c r="D32" i="18" s="1"/>
  <c r="D57" i="18"/>
  <c r="D44" i="18"/>
  <c r="D60" i="18"/>
  <c r="K23" i="18"/>
  <c r="B9" i="17"/>
  <c r="B7" i="21"/>
  <c r="M27" i="18"/>
  <c r="N75" i="10" s="1"/>
  <c r="M34" i="18"/>
  <c r="N82" i="10" s="1"/>
  <c r="M37" i="18"/>
  <c r="N85" i="10" s="1"/>
  <c r="M33" i="18"/>
  <c r="N81" i="10" s="1"/>
  <c r="D51" i="18"/>
  <c r="T3" i="14"/>
  <c r="D48" i="18"/>
  <c r="D52" i="18"/>
  <c r="P6" i="14"/>
  <c r="D58" i="18"/>
  <c r="R9" i="14"/>
  <c r="D49" i="18"/>
  <c r="C17" i="21"/>
  <c r="P9" i="14"/>
  <c r="P12" i="14"/>
  <c r="D59" i="18"/>
  <c r="D50" i="18"/>
  <c r="S9" i="14"/>
  <c r="K27" i="18"/>
  <c r="K37" i="18"/>
  <c r="B29" i="14"/>
  <c r="R6" i="14"/>
  <c r="R16" i="14"/>
  <c r="Q19" i="14"/>
  <c r="O20" i="14"/>
  <c r="T17" i="14"/>
  <c r="S15" i="14"/>
  <c r="S10" i="14"/>
  <c r="P8" i="14"/>
  <c r="S3" i="14"/>
  <c r="S17" i="14"/>
  <c r="P15" i="14"/>
  <c r="Q10" i="14"/>
  <c r="T5" i="14"/>
  <c r="P3" i="14"/>
  <c r="R17" i="14"/>
  <c r="T12" i="14"/>
  <c r="P10" i="14"/>
  <c r="S5" i="14"/>
  <c r="P17" i="14"/>
  <c r="S12" i="14"/>
  <c r="O10" i="14"/>
  <c r="P5" i="14"/>
  <c r="T19" i="14"/>
  <c r="T14" i="14"/>
  <c r="R12" i="14"/>
  <c r="T7" i="14"/>
  <c r="S19" i="14"/>
  <c r="S14" i="14"/>
  <c r="Q12" i="14"/>
  <c r="S7" i="14"/>
  <c r="S6" i="14"/>
  <c r="T9" i="14"/>
  <c r="P13" i="14"/>
  <c r="O16" i="14"/>
  <c r="R19" i="14"/>
  <c r="T6" i="14"/>
  <c r="Q13" i="14"/>
  <c r="P16" i="14"/>
  <c r="P19" i="14"/>
  <c r="I16" i="18"/>
  <c r="J16" i="18" s="1"/>
  <c r="I15" i="18"/>
  <c r="J15" i="18" s="1"/>
  <c r="I14" i="18"/>
  <c r="J14" i="18" s="1"/>
  <c r="I13" i="18"/>
  <c r="J13" i="18" s="1"/>
  <c r="I12" i="18"/>
  <c r="J12" i="18" s="1"/>
  <c r="I11" i="18"/>
  <c r="J11" i="18" s="1"/>
  <c r="O4" i="14"/>
  <c r="Q7" i="14"/>
  <c r="S13" i="14"/>
  <c r="Q16" i="14"/>
  <c r="B6" i="21"/>
  <c r="K26" i="18"/>
  <c r="K29" i="18"/>
  <c r="K25" i="18"/>
  <c r="E4" i="20"/>
  <c r="J4" i="17"/>
  <c r="K40" i="18"/>
  <c r="K36" i="18"/>
  <c r="J3" i="17"/>
  <c r="K28" i="18"/>
  <c r="K24" i="18"/>
  <c r="P4" i="14"/>
  <c r="R7" i="14"/>
  <c r="T13" i="14"/>
  <c r="S16" i="14"/>
  <c r="I2" i="18"/>
  <c r="J2" i="18" s="1"/>
  <c r="B8" i="21"/>
  <c r="Q4" i="14"/>
  <c r="P7" i="14"/>
  <c r="T10" i="14"/>
  <c r="T16" i="14"/>
  <c r="I3" i="18"/>
  <c r="J3" i="18" s="1"/>
  <c r="C8" i="21"/>
  <c r="R4" i="14"/>
  <c r="Q11" i="14"/>
  <c r="O14" i="14"/>
  <c r="Q17" i="14"/>
  <c r="P20" i="14"/>
  <c r="I4" i="18"/>
  <c r="J4" i="18" s="1"/>
  <c r="K34" i="18"/>
  <c r="S4" i="14"/>
  <c r="B23" i="14" s="1"/>
  <c r="P11" i="14"/>
  <c r="Q20" i="14"/>
  <c r="I5" i="18"/>
  <c r="J5" i="18" s="1"/>
  <c r="K38" i="18"/>
  <c r="M25" i="18"/>
  <c r="N73" i="10" s="1"/>
  <c r="M28" i="18"/>
  <c r="N76" i="10" s="1"/>
  <c r="T4" i="14"/>
  <c r="S11" i="14"/>
  <c r="P14" i="14"/>
  <c r="R20" i="14"/>
  <c r="I6" i="18"/>
  <c r="J6" i="18" s="1"/>
  <c r="Q8" i="14"/>
  <c r="T11" i="14"/>
  <c r="Q14" i="14"/>
  <c r="S20" i="14"/>
  <c r="I7" i="18"/>
  <c r="J7" i="18" s="1"/>
  <c r="K30" i="18"/>
  <c r="S8" i="14"/>
  <c r="R14" i="14"/>
  <c r="O18" i="14"/>
  <c r="T20" i="14"/>
  <c r="I8" i="18"/>
  <c r="J8" i="18" s="1"/>
  <c r="M30" i="18"/>
  <c r="N78" i="10" s="1"/>
  <c r="T8" i="14"/>
  <c r="R18" i="14"/>
  <c r="B48" i="14"/>
  <c r="B52" i="14" s="1"/>
  <c r="B53" i="14" s="1"/>
  <c r="I9" i="18"/>
  <c r="J9" i="18" s="1"/>
  <c r="K35" i="18"/>
  <c r="O6" i="14"/>
  <c r="Q9" i="14"/>
  <c r="P18" i="14"/>
  <c r="I10" i="18"/>
  <c r="J10" i="18" s="1"/>
  <c r="M35" i="18"/>
  <c r="N83" i="10" s="1"/>
  <c r="O9" i="14"/>
  <c r="O12" i="14"/>
  <c r="T15" i="14"/>
  <c r="Q18" i="14"/>
  <c r="I17" i="18"/>
  <c r="J17" i="18" s="1"/>
  <c r="Q5" i="14"/>
  <c r="O17" i="14"/>
  <c r="O5" i="14"/>
  <c r="O13" i="14"/>
  <c r="R5" i="14"/>
  <c r="R10" i="14"/>
  <c r="Q3" i="14"/>
  <c r="Q15" i="14"/>
  <c r="B38" i="14" s="1"/>
  <c r="B29" i="18"/>
  <c r="C29" i="18" s="1"/>
  <c r="D29" i="18" s="1"/>
  <c r="B33" i="18"/>
  <c r="C33" i="18" s="1"/>
  <c r="D33" i="18" s="1"/>
  <c r="R3" i="14"/>
  <c r="O8" i="14"/>
  <c r="R15" i="14"/>
  <c r="B37" i="18"/>
  <c r="C37" i="18" s="1"/>
  <c r="D37" i="18" s="1"/>
  <c r="L44" i="10"/>
  <c r="T44" i="10" s="1"/>
  <c r="R8" i="14"/>
  <c r="O7" i="14"/>
  <c r="O15" i="14"/>
  <c r="Z68" i="10"/>
  <c r="R13" i="14"/>
  <c r="C36" i="14" s="1"/>
  <c r="B26" i="18"/>
  <c r="C26" i="18" s="1"/>
  <c r="D26" i="18" s="1"/>
  <c r="C6" i="21"/>
  <c r="C14" i="21"/>
  <c r="Q67" i="10"/>
  <c r="B18" i="18"/>
  <c r="B16" i="18"/>
  <c r="B8" i="18"/>
  <c r="B15" i="18"/>
  <c r="B7" i="18"/>
  <c r="B6" i="18"/>
  <c r="B3" i="18"/>
  <c r="B2" i="18"/>
  <c r="B17" i="18"/>
  <c r="B14" i="18"/>
  <c r="B13" i="18"/>
  <c r="B5" i="18"/>
  <c r="B12" i="18"/>
  <c r="B4" i="18"/>
  <c r="S21" i="10"/>
  <c r="S20" i="10"/>
  <c r="B19" i="18"/>
  <c r="B11" i="18"/>
  <c r="B10" i="18"/>
  <c r="B9" i="18"/>
  <c r="E17" i="18"/>
  <c r="F17" i="18" s="1"/>
  <c r="E6" i="18"/>
  <c r="F6" i="18" s="1"/>
  <c r="E8" i="18"/>
  <c r="F8" i="18" s="1"/>
  <c r="E13" i="18"/>
  <c r="F13" i="18" s="1"/>
  <c r="E18" i="18"/>
  <c r="F18" i="18" s="1"/>
  <c r="E11" i="18"/>
  <c r="F11" i="18" s="1"/>
  <c r="E5" i="18"/>
  <c r="F5" i="18" s="1"/>
  <c r="E19" i="18"/>
  <c r="F19" i="18" s="1"/>
  <c r="E7" i="18"/>
  <c r="F7" i="18" s="1"/>
  <c r="E16" i="18"/>
  <c r="F16" i="18" s="1"/>
  <c r="E10" i="18"/>
  <c r="F10" i="18" s="1"/>
  <c r="C14" i="28"/>
  <c r="E15" i="18"/>
  <c r="F15" i="18" s="1"/>
  <c r="E9" i="18"/>
  <c r="F9" i="18" s="1"/>
  <c r="E14" i="18"/>
  <c r="F14" i="18" s="1"/>
  <c r="E2" i="18"/>
  <c r="F2" i="18" s="1"/>
  <c r="E12" i="18"/>
  <c r="F12" i="18" s="1"/>
  <c r="E4" i="18"/>
  <c r="F4" i="18" s="1"/>
  <c r="D45" i="18"/>
  <c r="D53" i="18"/>
  <c r="D61" i="18"/>
  <c r="D46" i="18"/>
  <c r="D54" i="18"/>
  <c r="D47" i="18"/>
  <c r="K39" i="18"/>
  <c r="J6" i="17"/>
  <c r="K32" i="18"/>
  <c r="K33" i="18"/>
  <c r="C23" i="18"/>
  <c r="D23" i="18" s="1"/>
  <c r="C6" i="15"/>
  <c r="C7" i="15" s="1"/>
  <c r="C12" i="15" s="1"/>
  <c r="J16" i="13"/>
  <c r="O84" i="10" s="1"/>
  <c r="J17" i="13"/>
  <c r="O85" i="10" s="1"/>
  <c r="C9" i="21"/>
  <c r="B11" i="21"/>
  <c r="AA68" i="10"/>
  <c r="AB68" i="10"/>
  <c r="AC68" i="10"/>
  <c r="B6" i="17"/>
  <c r="M24" i="18"/>
  <c r="N72" i="10" s="1"/>
  <c r="D19" i="30" s="1"/>
  <c r="M31" i="18"/>
  <c r="N79" i="10" s="1"/>
  <c r="M38" i="18"/>
  <c r="N86" i="10" s="1"/>
  <c r="C39" i="18"/>
  <c r="D39" i="18" s="1"/>
  <c r="J3" i="13"/>
  <c r="O71" i="10" s="1"/>
  <c r="J5" i="13"/>
  <c r="O73" i="10" s="1"/>
  <c r="B12" i="21"/>
  <c r="J6" i="13"/>
  <c r="O74" i="10" s="1"/>
  <c r="C12" i="21"/>
  <c r="J7" i="13"/>
  <c r="O75" i="10" s="1"/>
  <c r="J8" i="13"/>
  <c r="O76" i="10" s="1"/>
  <c r="C2" i="21"/>
  <c r="C10" i="21"/>
  <c r="J9" i="13"/>
  <c r="O77" i="10" s="1"/>
  <c r="J10" i="13"/>
  <c r="O78" i="10" s="1"/>
  <c r="J12" i="13"/>
  <c r="O80" i="10" s="1"/>
  <c r="J13" i="13"/>
  <c r="O81" i="10" s="1"/>
  <c r="B3" i="21"/>
  <c r="B5" i="21"/>
  <c r="I26" i="18" s="1"/>
  <c r="B13" i="21"/>
  <c r="I34" i="18" s="1"/>
  <c r="J14" i="13"/>
  <c r="O82" i="10" s="1"/>
  <c r="C4" i="21"/>
  <c r="J19" i="13"/>
  <c r="O87" i="10" s="1"/>
  <c r="J20" i="13"/>
  <c r="O88" i="10" s="1"/>
  <c r="J4" i="13"/>
  <c r="O72" i="10" s="1"/>
  <c r="D20" i="30" s="1"/>
  <c r="C3" i="21"/>
  <c r="C11" i="21"/>
  <c r="C19" i="21"/>
  <c r="J11" i="13"/>
  <c r="O79" i="10" s="1"/>
  <c r="J15" i="13"/>
  <c r="O83" i="10" s="1"/>
  <c r="M40" i="18"/>
  <c r="N88" i="10" s="1"/>
  <c r="C5" i="21"/>
  <c r="M32" i="18"/>
  <c r="N80" i="10" s="1"/>
  <c r="M29" i="18"/>
  <c r="N77" i="10" s="1"/>
  <c r="M26" i="18"/>
  <c r="N74" i="10" s="1"/>
  <c r="N24" i="18"/>
  <c r="F17" i="17" s="1"/>
  <c r="M23" i="18"/>
  <c r="N71" i="10" s="1"/>
  <c r="M39" i="18"/>
  <c r="N87" i="10" s="1"/>
  <c r="M36" i="18"/>
  <c r="N84" i="10" s="1"/>
  <c r="C6" i="28"/>
  <c r="E17" i="10" s="1"/>
  <c r="C13" i="21"/>
  <c r="C7" i="21"/>
  <c r="I28" i="18" s="1"/>
  <c r="C15" i="21"/>
  <c r="B14" i="21"/>
  <c r="I35" i="18" s="1"/>
  <c r="B15" i="21"/>
  <c r="I36" i="18" s="1"/>
  <c r="B16" i="21"/>
  <c r="B9" i="21"/>
  <c r="I30" i="18" s="1"/>
  <c r="B17" i="21"/>
  <c r="I38" i="18" s="1"/>
  <c r="B8" i="17"/>
  <c r="C16" i="21"/>
  <c r="B19" i="21"/>
  <c r="B18" i="21"/>
  <c r="C18" i="21"/>
  <c r="I27" i="18"/>
  <c r="C3" i="28"/>
  <c r="C5" i="28" s="1"/>
  <c r="L38" i="10" s="1"/>
  <c r="C8" i="28"/>
  <c r="E26" i="10" s="1"/>
  <c r="C65" i="10" s="1"/>
  <c r="F33" i="18" s="1"/>
  <c r="G81" i="10" s="1"/>
  <c r="F13" i="17"/>
  <c r="O89" i="10" s="1"/>
  <c r="B21" i="17"/>
  <c r="C34" i="18"/>
  <c r="D34" i="18" s="1"/>
  <c r="B4" i="21"/>
  <c r="I25" i="18" s="1"/>
  <c r="B2" i="21"/>
  <c r="M3" i="14"/>
  <c r="O3" i="14" s="1"/>
  <c r="B10" i="21"/>
  <c r="M11" i="14"/>
  <c r="O11" i="14" s="1"/>
  <c r="C50" i="23"/>
  <c r="E3" i="23" s="1"/>
  <c r="E3" i="18" s="1"/>
  <c r="F3" i="18" s="1"/>
  <c r="C49" i="23"/>
  <c r="C51" i="23"/>
  <c r="M19" i="14"/>
  <c r="O19" i="14" s="1"/>
  <c r="O24" i="20"/>
  <c r="F32" i="23"/>
  <c r="N11" i="14"/>
  <c r="R11" i="14" s="1"/>
  <c r="B30" i="14" l="1"/>
  <c r="C38" i="14"/>
  <c r="C37" i="14"/>
  <c r="B27" i="14"/>
  <c r="B26" i="14"/>
  <c r="B33" i="14"/>
  <c r="B40" i="14"/>
  <c r="C28" i="14"/>
  <c r="B41" i="14"/>
  <c r="B35" i="14"/>
  <c r="C33" i="14"/>
  <c r="L78" i="10" s="1"/>
  <c r="C23" i="14"/>
  <c r="B28" i="14"/>
  <c r="B31" i="14"/>
  <c r="C31" i="14"/>
  <c r="C42" i="14"/>
  <c r="B42" i="14"/>
  <c r="C43" i="14"/>
  <c r="B43" i="14"/>
  <c r="L88" i="10" s="1"/>
  <c r="B34" i="14"/>
  <c r="C39" i="14"/>
  <c r="C26" i="14"/>
  <c r="L71" i="10" s="1"/>
  <c r="C41" i="14"/>
  <c r="B39" i="14"/>
  <c r="C35" i="14"/>
  <c r="C29" i="14"/>
  <c r="L74" i="10" s="1"/>
  <c r="C40" i="14"/>
  <c r="C34" i="14"/>
  <c r="B32" i="14"/>
  <c r="B37" i="14"/>
  <c r="L82" i="10" s="1"/>
  <c r="C30" i="14"/>
  <c r="L75" i="10" s="1"/>
  <c r="C32" i="14"/>
  <c r="B36" i="14"/>
  <c r="L81" i="10" s="1"/>
  <c r="I29" i="18"/>
  <c r="L83" i="10"/>
  <c r="I31" i="18"/>
  <c r="J31" i="18" s="1"/>
  <c r="I79" i="10" s="1"/>
  <c r="I24" i="18"/>
  <c r="J24" i="18" s="1"/>
  <c r="I72" i="10" s="1"/>
  <c r="D14" i="30" s="1"/>
  <c r="I23" i="18"/>
  <c r="J23" i="18" s="1"/>
  <c r="I71" i="10" s="1"/>
  <c r="I32" i="18"/>
  <c r="J32" i="18" s="1"/>
  <c r="I80" i="10" s="1"/>
  <c r="I37" i="18"/>
  <c r="J37" i="18" s="1"/>
  <c r="I85" i="10" s="1"/>
  <c r="I39" i="18"/>
  <c r="J39" i="18" s="1"/>
  <c r="I87" i="10" s="1"/>
  <c r="I40" i="18"/>
  <c r="J40" i="18" s="1"/>
  <c r="I88" i="10" s="1"/>
  <c r="C27" i="14"/>
  <c r="L72" i="10" s="1"/>
  <c r="D17" i="30" s="1"/>
  <c r="I33" i="18"/>
  <c r="J33" i="18" s="1"/>
  <c r="I81" i="10" s="1"/>
  <c r="J5" i="17"/>
  <c r="N89" i="10"/>
  <c r="I19" i="30" s="1"/>
  <c r="B49" i="14"/>
  <c r="B50" i="14" s="1"/>
  <c r="B51" i="14" s="1"/>
  <c r="B54" i="14" s="1"/>
  <c r="L46" i="10" s="1"/>
  <c r="T46" i="10" s="1"/>
  <c r="AG29" i="10"/>
  <c r="I20" i="30"/>
  <c r="C17" i="28"/>
  <c r="C10" i="15"/>
  <c r="C11" i="15" s="1"/>
  <c r="C13" i="15" s="1"/>
  <c r="F77" i="10"/>
  <c r="F71" i="10"/>
  <c r="F74" i="10"/>
  <c r="F88" i="10"/>
  <c r="F86" i="10"/>
  <c r="F85" i="10"/>
  <c r="F76" i="10"/>
  <c r="F75" i="10"/>
  <c r="F83" i="10"/>
  <c r="F80" i="10"/>
  <c r="F79" i="10"/>
  <c r="F72" i="10"/>
  <c r="D11" i="30" s="1"/>
  <c r="F73" i="10"/>
  <c r="F81" i="10"/>
  <c r="F82" i="10"/>
  <c r="F84" i="10"/>
  <c r="F78" i="10"/>
  <c r="F87" i="10"/>
  <c r="J30" i="18"/>
  <c r="I78" i="10" s="1"/>
  <c r="AG28" i="10"/>
  <c r="L23" i="18"/>
  <c r="M71" i="10" s="1"/>
  <c r="L27" i="18"/>
  <c r="M75" i="10" s="1"/>
  <c r="L40" i="18"/>
  <c r="M88" i="10" s="1"/>
  <c r="L43" i="10"/>
  <c r="T43" i="10" s="1"/>
  <c r="L31" i="18"/>
  <c r="M79" i="10" s="1"/>
  <c r="J7" i="17"/>
  <c r="J8" i="17" s="1"/>
  <c r="L37" i="18"/>
  <c r="M85" i="10" s="1"/>
  <c r="L33" i="18"/>
  <c r="M81" i="10" s="1"/>
  <c r="L25" i="18"/>
  <c r="M73" i="10" s="1"/>
  <c r="L38" i="18"/>
  <c r="M86" i="10" s="1"/>
  <c r="L34" i="18"/>
  <c r="M82" i="10" s="1"/>
  <c r="L24" i="18"/>
  <c r="M72" i="10" s="1"/>
  <c r="L29" i="18"/>
  <c r="M77" i="10" s="1"/>
  <c r="L32" i="18"/>
  <c r="M80" i="10" s="1"/>
  <c r="L30" i="18"/>
  <c r="M78" i="10" s="1"/>
  <c r="L35" i="18"/>
  <c r="M83" i="10" s="1"/>
  <c r="L36" i="18"/>
  <c r="M84" i="10" s="1"/>
  <c r="L28" i="18"/>
  <c r="M76" i="10" s="1"/>
  <c r="L39" i="18"/>
  <c r="M87" i="10" s="1"/>
  <c r="L26" i="18"/>
  <c r="M74" i="10" s="1"/>
  <c r="J25" i="18"/>
  <c r="I73" i="10" s="1"/>
  <c r="F25" i="18"/>
  <c r="G73" i="10" s="1"/>
  <c r="F35" i="18"/>
  <c r="G83" i="10" s="1"/>
  <c r="F37" i="18"/>
  <c r="G85" i="10" s="1"/>
  <c r="F28" i="18"/>
  <c r="G76" i="10" s="1"/>
  <c r="F30" i="18"/>
  <c r="G78" i="10" s="1"/>
  <c r="F34" i="18"/>
  <c r="G82" i="10" s="1"/>
  <c r="L48" i="10"/>
  <c r="T48" i="10" s="1"/>
  <c r="F40" i="18"/>
  <c r="G88" i="10" s="1"/>
  <c r="F38" i="18"/>
  <c r="G86" i="10" s="1"/>
  <c r="J29" i="18"/>
  <c r="I77" i="10" s="1"/>
  <c r="J26" i="18"/>
  <c r="I74" i="10" s="1"/>
  <c r="F29" i="18"/>
  <c r="G77" i="10" s="1"/>
  <c r="F23" i="18"/>
  <c r="G71" i="10" s="1"/>
  <c r="J34" i="18"/>
  <c r="I82" i="10" s="1"/>
  <c r="F32" i="18"/>
  <c r="G80" i="10" s="1"/>
  <c r="J38" i="18"/>
  <c r="I86" i="10" s="1"/>
  <c r="J36" i="18"/>
  <c r="I84" i="10" s="1"/>
  <c r="B4" i="17"/>
  <c r="B7" i="17" s="1"/>
  <c r="B10" i="17" s="1"/>
  <c r="I89" i="10" s="1"/>
  <c r="I14" i="30" s="1"/>
  <c r="J28" i="18"/>
  <c r="I76" i="10" s="1"/>
  <c r="F26" i="18"/>
  <c r="G74" i="10" s="1"/>
  <c r="J27" i="18"/>
  <c r="I75" i="10" s="1"/>
  <c r="J35" i="18"/>
  <c r="I83" i="10" s="1"/>
  <c r="C9" i="28"/>
  <c r="E32" i="10" s="1"/>
  <c r="C4" i="28"/>
  <c r="E35" i="10" s="1"/>
  <c r="C3" i="16" s="1"/>
  <c r="F24" i="18"/>
  <c r="G72" i="10" s="1"/>
  <c r="D12" i="30" s="1"/>
  <c r="L45" i="10"/>
  <c r="T45" i="10" s="1"/>
  <c r="F36" i="18"/>
  <c r="G84" i="10" s="1"/>
  <c r="F31" i="18"/>
  <c r="G79" i="10" s="1"/>
  <c r="F39" i="18"/>
  <c r="G87" i="10" s="1"/>
  <c r="F27" i="18"/>
  <c r="G75" i="10" s="1"/>
  <c r="F5" i="17"/>
  <c r="F6" i="17" s="1"/>
  <c r="L85" i="10" l="1"/>
  <c r="L79" i="10"/>
  <c r="L77" i="10"/>
  <c r="L76" i="10"/>
  <c r="L73" i="10"/>
  <c r="L80" i="10"/>
  <c r="L84" i="10"/>
  <c r="L86" i="10"/>
  <c r="L87" i="10"/>
  <c r="Q78" i="10"/>
  <c r="D18" i="30"/>
  <c r="J9" i="17"/>
  <c r="J10" i="17"/>
  <c r="AG24" i="10"/>
  <c r="C5" i="16"/>
  <c r="C8" i="16" s="1"/>
  <c r="C10" i="16" s="1"/>
  <c r="C6" i="16"/>
  <c r="C7" i="16" s="1"/>
  <c r="C11" i="16" s="1"/>
  <c r="H31" i="18"/>
  <c r="H79" i="10" s="1"/>
  <c r="H33" i="18"/>
  <c r="H81" i="10" s="1"/>
  <c r="H38" i="18"/>
  <c r="H86" i="10" s="1"/>
  <c r="H25" i="18"/>
  <c r="H73" i="10" s="1"/>
  <c r="H27" i="18"/>
  <c r="H75" i="10" s="1"/>
  <c r="H35" i="18"/>
  <c r="H83" i="10" s="1"/>
  <c r="H30" i="18"/>
  <c r="H78" i="10" s="1"/>
  <c r="H37" i="18"/>
  <c r="H85" i="10" s="1"/>
  <c r="H24" i="18"/>
  <c r="H72" i="10" s="1"/>
  <c r="D13" i="30" s="1"/>
  <c r="H32" i="18"/>
  <c r="H80" i="10" s="1"/>
  <c r="H40" i="18"/>
  <c r="H88" i="10" s="1"/>
  <c r="H36" i="18"/>
  <c r="H84" i="10" s="1"/>
  <c r="H34" i="18"/>
  <c r="H82" i="10" s="1"/>
  <c r="H28" i="18"/>
  <c r="H76" i="10" s="1"/>
  <c r="H29" i="18"/>
  <c r="H77" i="10" s="1"/>
  <c r="H23" i="18"/>
  <c r="H71" i="10" s="1"/>
  <c r="H39" i="18"/>
  <c r="H87" i="10" s="1"/>
  <c r="H26" i="18"/>
  <c r="H74" i="10" s="1"/>
  <c r="AG25" i="10"/>
  <c r="G89" i="10"/>
  <c r="I12" i="30" s="1"/>
  <c r="E18" i="15"/>
  <c r="E19" i="15"/>
  <c r="E17" i="15"/>
  <c r="E21" i="15" s="1"/>
  <c r="AG27" i="10" l="1"/>
  <c r="M89" i="10"/>
  <c r="C12" i="16"/>
  <c r="L47" i="10"/>
  <c r="T47" i="10" s="1"/>
  <c r="E59" i="18"/>
  <c r="K86" i="10" s="1"/>
  <c r="E60" i="18"/>
  <c r="K87" i="10" s="1"/>
  <c r="E55" i="18"/>
  <c r="K82" i="10" s="1"/>
  <c r="E54" i="18"/>
  <c r="K81" i="10" s="1"/>
  <c r="E50" i="18"/>
  <c r="K77" i="10" s="1"/>
  <c r="E49" i="18"/>
  <c r="K76" i="10" s="1"/>
  <c r="E52" i="18"/>
  <c r="K79" i="10" s="1"/>
  <c r="E48" i="18"/>
  <c r="K75" i="10" s="1"/>
  <c r="E46" i="18"/>
  <c r="K73" i="10" s="1"/>
  <c r="E56" i="18"/>
  <c r="K83" i="10" s="1"/>
  <c r="E57" i="18"/>
  <c r="K84" i="10" s="1"/>
  <c r="E53" i="18"/>
  <c r="K80" i="10" s="1"/>
  <c r="E47" i="18"/>
  <c r="K74" i="10" s="1"/>
  <c r="E45" i="18"/>
  <c r="K72" i="10" s="1"/>
  <c r="D16" i="30" s="1"/>
  <c r="E44" i="18"/>
  <c r="K71" i="10" s="1"/>
  <c r="E61" i="18"/>
  <c r="K88" i="10" s="1"/>
  <c r="E58" i="18"/>
  <c r="K85" i="10" s="1"/>
  <c r="E51" i="18"/>
  <c r="K78" i="10" s="1"/>
  <c r="N57" i="6"/>
  <c r="M57" i="6"/>
  <c r="L57" i="6"/>
  <c r="K57" i="6"/>
  <c r="J57" i="6"/>
  <c r="I57" i="6"/>
  <c r="H57" i="6"/>
  <c r="G57" i="6"/>
  <c r="F57" i="6"/>
  <c r="E57" i="6"/>
  <c r="D57" i="6"/>
  <c r="C57" i="6"/>
  <c r="N52" i="6"/>
  <c r="M52" i="6"/>
  <c r="L52" i="6"/>
  <c r="K52" i="6"/>
  <c r="J52" i="6"/>
  <c r="I52" i="6"/>
  <c r="H52" i="6"/>
  <c r="G52" i="6"/>
  <c r="F52" i="6"/>
  <c r="E52" i="6"/>
  <c r="D52" i="6"/>
  <c r="C52" i="6"/>
  <c r="Q79" i="10" l="1"/>
  <c r="I18" i="30"/>
  <c r="C52" i="18"/>
  <c r="J79" i="10" s="1"/>
  <c r="AC72" i="10" s="1"/>
  <c r="C49" i="18"/>
  <c r="J76" i="10" s="1"/>
  <c r="C48" i="18"/>
  <c r="J75" i="10" s="1"/>
  <c r="B19" i="17"/>
  <c r="C44" i="18"/>
  <c r="J71" i="10" s="1"/>
  <c r="C57" i="18"/>
  <c r="J84" i="10" s="1"/>
  <c r="C61" i="18"/>
  <c r="J88" i="10" s="1"/>
  <c r="AB72" i="10" s="1"/>
  <c r="C58" i="18"/>
  <c r="J85" i="10" s="1"/>
  <c r="C46" i="18"/>
  <c r="J73" i="10" s="1"/>
  <c r="C50" i="18"/>
  <c r="J77" i="10" s="1"/>
  <c r="C51" i="18"/>
  <c r="J78" i="10" s="1"/>
  <c r="C54" i="18"/>
  <c r="J81" i="10" s="1"/>
  <c r="C59" i="18"/>
  <c r="J86" i="10" s="1"/>
  <c r="C45" i="18"/>
  <c r="J72" i="10" s="1"/>
  <c r="C47" i="18"/>
  <c r="J74" i="10" s="1"/>
  <c r="C55" i="18"/>
  <c r="J82" i="10" s="1"/>
  <c r="AA72" i="10" s="1"/>
  <c r="C60" i="18"/>
  <c r="J87" i="10" s="1"/>
  <c r="C53" i="18"/>
  <c r="J80" i="10" s="1"/>
  <c r="C56" i="18"/>
  <c r="J83" i="10" s="1"/>
  <c r="C15" i="16"/>
  <c r="C16" i="7"/>
  <c r="D16" i="7"/>
  <c r="E16" i="7"/>
  <c r="F16" i="7"/>
  <c r="G16" i="7"/>
  <c r="H16" i="7"/>
  <c r="I16" i="7"/>
  <c r="J16" i="7"/>
  <c r="K16" i="7"/>
  <c r="L16" i="7"/>
  <c r="M16" i="7"/>
  <c r="B16" i="7"/>
  <c r="Z72" i="10" l="1"/>
  <c r="D15" i="30"/>
  <c r="B20" i="17"/>
  <c r="B22" i="17"/>
  <c r="N17" i="6"/>
  <c r="M17" i="6"/>
  <c r="L17" i="6"/>
  <c r="K17" i="6"/>
  <c r="J17" i="6"/>
  <c r="I17" i="6"/>
  <c r="H17" i="6"/>
  <c r="G17" i="6"/>
  <c r="F17" i="6"/>
  <c r="E17" i="6"/>
  <c r="D17" i="6"/>
  <c r="C17" i="6"/>
  <c r="P72" i="10" l="1"/>
  <c r="H24" i="30" s="1"/>
  <c r="J89" i="10"/>
  <c r="I15" i="30" s="1"/>
  <c r="AG26" i="10"/>
  <c r="E67" i="7"/>
  <c r="Z73" i="10" l="1"/>
  <c r="B18" i="7"/>
  <c r="B23" i="7" s="1"/>
  <c r="J18" i="7"/>
  <c r="J23" i="7" s="1"/>
  <c r="C2" i="8"/>
  <c r="C3" i="8" s="1"/>
  <c r="B146" i="7"/>
  <c r="B145" i="7"/>
  <c r="B144" i="7"/>
  <c r="B143" i="7"/>
  <c r="B142" i="7"/>
  <c r="B141" i="7"/>
  <c r="B140" i="7"/>
  <c r="B139" i="7"/>
  <c r="B138" i="7"/>
  <c r="B137" i="7"/>
  <c r="B136" i="7"/>
  <c r="B135" i="7"/>
  <c r="B134" i="7"/>
  <c r="B133" i="7"/>
  <c r="B132" i="7"/>
  <c r="B131" i="7"/>
  <c r="B130" i="7"/>
  <c r="B129" i="7"/>
  <c r="B128" i="7"/>
  <c r="B127" i="7"/>
  <c r="B126" i="7"/>
  <c r="B125" i="7"/>
  <c r="B124" i="7"/>
  <c r="B123" i="7"/>
  <c r="B122" i="7"/>
  <c r="E116" i="7"/>
  <c r="E115" i="7"/>
  <c r="E114" i="7"/>
  <c r="E113" i="7"/>
  <c r="E111" i="7"/>
  <c r="E97" i="7"/>
  <c r="E96" i="7"/>
  <c r="E95" i="7"/>
  <c r="B100" i="7" s="1"/>
  <c r="E94" i="7"/>
  <c r="E93" i="7"/>
  <c r="K94" i="7" s="1"/>
  <c r="E92" i="7"/>
  <c r="E90" i="7"/>
  <c r="E89" i="7"/>
  <c r="E83" i="7"/>
  <c r="E82" i="7"/>
  <c r="E81" i="7"/>
  <c r="K73" i="7" s="1"/>
  <c r="E80" i="7"/>
  <c r="E79" i="7"/>
  <c r="U79" i="7" s="1"/>
  <c r="E78" i="7"/>
  <c r="U78" i="7" s="1"/>
  <c r="E77" i="7"/>
  <c r="P77" i="7" s="1"/>
  <c r="E76" i="7"/>
  <c r="E75" i="7"/>
  <c r="P75" i="7" s="1"/>
  <c r="E74" i="7"/>
  <c r="E73" i="7"/>
  <c r="E72" i="7"/>
  <c r="E71" i="7"/>
  <c r="L72" i="7" s="1"/>
  <c r="E62" i="7"/>
  <c r="G62" i="7" s="1"/>
  <c r="E61" i="7"/>
  <c r="G61" i="7" s="1"/>
  <c r="E54" i="7"/>
  <c r="E56" i="7" s="1"/>
  <c r="E52" i="7"/>
  <c r="E51" i="7"/>
  <c r="E50" i="7"/>
  <c r="E40" i="7"/>
  <c r="E43" i="7" s="1"/>
  <c r="E39" i="7"/>
  <c r="E30" i="7"/>
  <c r="E29" i="7"/>
  <c r="E31" i="7" s="1"/>
  <c r="E28" i="7"/>
  <c r="M18" i="7"/>
  <c r="M23" i="7" s="1"/>
  <c r="L18" i="7"/>
  <c r="L23" i="7" s="1"/>
  <c r="K18" i="7"/>
  <c r="K23" i="7" s="1"/>
  <c r="I18" i="7"/>
  <c r="I23" i="7" s="1"/>
  <c r="H18" i="7"/>
  <c r="H23" i="7" s="1"/>
  <c r="G18" i="7"/>
  <c r="G23" i="7" s="1"/>
  <c r="F18" i="7"/>
  <c r="F23" i="7" s="1"/>
  <c r="E18" i="7"/>
  <c r="E23" i="7" s="1"/>
  <c r="D18" i="7"/>
  <c r="D23" i="7" s="1"/>
  <c r="C18" i="7"/>
  <c r="C23" i="7" s="1"/>
  <c r="N47" i="6"/>
  <c r="M47" i="6"/>
  <c r="L47" i="6"/>
  <c r="K47" i="6"/>
  <c r="J47" i="6"/>
  <c r="I47" i="6"/>
  <c r="H47" i="6"/>
  <c r="G47" i="6"/>
  <c r="F47" i="6"/>
  <c r="E47" i="6"/>
  <c r="D47" i="6"/>
  <c r="C47" i="6"/>
  <c r="N42" i="6"/>
  <c r="M42" i="6"/>
  <c r="L42" i="6"/>
  <c r="K42" i="6"/>
  <c r="J42" i="6"/>
  <c r="I42" i="6"/>
  <c r="H42" i="6"/>
  <c r="G42" i="6"/>
  <c r="F42" i="6"/>
  <c r="E42" i="6"/>
  <c r="D42" i="6"/>
  <c r="C42" i="6"/>
  <c r="N37" i="6"/>
  <c r="M37" i="6"/>
  <c r="L37" i="6"/>
  <c r="K37" i="6"/>
  <c r="J37" i="6"/>
  <c r="I37" i="6"/>
  <c r="H37" i="6"/>
  <c r="G37" i="6"/>
  <c r="F37" i="6"/>
  <c r="E37" i="6"/>
  <c r="D37" i="6"/>
  <c r="C37" i="6"/>
  <c r="S27" i="6"/>
  <c r="S25" i="6"/>
  <c r="S24" i="6"/>
  <c r="S23" i="6"/>
  <c r="S22" i="6"/>
  <c r="S20" i="6"/>
  <c r="S19" i="6"/>
  <c r="S18" i="6"/>
  <c r="S17" i="6"/>
  <c r="S15" i="6"/>
  <c r="S13" i="6"/>
  <c r="H21" i="3"/>
  <c r="B101" i="7" l="1"/>
  <c r="B118" i="7"/>
  <c r="P79" i="7"/>
  <c r="E53" i="7"/>
  <c r="E112" i="7" s="1"/>
  <c r="P78" i="7"/>
  <c r="K95" i="7"/>
  <c r="B102" i="7" s="1"/>
  <c r="N16" i="7"/>
  <c r="E10" i="5" s="1"/>
  <c r="O18" i="7"/>
  <c r="P18" i="7" s="1"/>
  <c r="U76" i="7" s="1"/>
  <c r="B104" i="7"/>
  <c r="E57" i="7"/>
  <c r="E113" i="8"/>
  <c r="B113" i="8" s="1"/>
  <c r="F112" i="8"/>
  <c r="E112" i="8"/>
  <c r="B112" i="8" s="1"/>
  <c r="F113" i="8"/>
  <c r="F111" i="8"/>
  <c r="E111" i="8"/>
  <c r="B111" i="8" s="1"/>
  <c r="F76" i="7"/>
  <c r="F78" i="7"/>
  <c r="L74" i="7"/>
  <c r="F81" i="7"/>
  <c r="F72" i="7"/>
  <c r="F74" i="7"/>
  <c r="L73" i="7"/>
  <c r="P73" i="7"/>
  <c r="U73" i="7"/>
  <c r="F79" i="7"/>
  <c r="F80" i="7"/>
  <c r="B5" i="6"/>
  <c r="E32" i="7"/>
  <c r="K72" i="7"/>
  <c r="K74" i="7" s="1"/>
  <c r="U77" i="7"/>
  <c r="H86" i="7"/>
  <c r="B140" i="8"/>
  <c r="B136" i="8"/>
  <c r="I6" i="5" s="1"/>
  <c r="B132" i="8"/>
  <c r="B128" i="8"/>
  <c r="B124" i="8"/>
  <c r="B120" i="8"/>
  <c r="O2" i="7" s="1"/>
  <c r="B116" i="8"/>
  <c r="B110" i="8"/>
  <c r="A83" i="7" s="1"/>
  <c r="B106" i="8"/>
  <c r="B102" i="8"/>
  <c r="A76" i="7" s="1"/>
  <c r="B98" i="8"/>
  <c r="A72" i="7" s="1"/>
  <c r="B94" i="8"/>
  <c r="C30" i="3" s="1"/>
  <c r="A55" i="7" s="1"/>
  <c r="B90" i="8"/>
  <c r="C27" i="3" s="1"/>
  <c r="B86" i="8"/>
  <c r="B82" i="8"/>
  <c r="B78" i="8"/>
  <c r="B74" i="8"/>
  <c r="B70" i="8"/>
  <c r="J17" i="3"/>
  <c r="A40" i="7" s="1"/>
  <c r="B62" i="8"/>
  <c r="C11" i="3" s="1"/>
  <c r="B58" i="8"/>
  <c r="H7" i="3" s="1"/>
  <c r="B54" i="8"/>
  <c r="F6" i="3" s="1"/>
  <c r="B50" i="8"/>
  <c r="B46" i="8"/>
  <c r="B7" i="2" s="1"/>
  <c r="B42" i="8"/>
  <c r="B38" i="8"/>
  <c r="B34" i="8"/>
  <c r="B30" i="8"/>
  <c r="E3" i="2" s="1"/>
  <c r="B26" i="8"/>
  <c r="B22" i="8"/>
  <c r="B18" i="8"/>
  <c r="B14" i="8"/>
  <c r="B10" i="8"/>
  <c r="B6" i="8"/>
  <c r="B142" i="8"/>
  <c r="B137" i="8"/>
  <c r="B131" i="8"/>
  <c r="B126" i="8"/>
  <c r="I12" i="5" s="1"/>
  <c r="B121" i="8"/>
  <c r="O5" i="7" s="1"/>
  <c r="B115" i="8"/>
  <c r="P108" i="7" s="1"/>
  <c r="B105" i="8"/>
  <c r="A79" i="7" s="1"/>
  <c r="B100" i="8"/>
  <c r="A74" i="7" s="1"/>
  <c r="B95" i="8"/>
  <c r="B89" i="8"/>
  <c r="C26" i="3" s="1"/>
  <c r="B84" i="8"/>
  <c r="B79" i="8"/>
  <c r="B73" i="8"/>
  <c r="B68" i="8"/>
  <c r="B63" i="8"/>
  <c r="B57" i="8"/>
  <c r="B52" i="8"/>
  <c r="C7" i="3" s="1"/>
  <c r="A29" i="7" s="1"/>
  <c r="B47" i="8"/>
  <c r="B13" i="2" s="1"/>
  <c r="B41" i="8"/>
  <c r="B36" i="8"/>
  <c r="B31" i="8"/>
  <c r="B25" i="8"/>
  <c r="B20" i="8"/>
  <c r="B15" i="8"/>
  <c r="B9" i="8"/>
  <c r="B141" i="8"/>
  <c r="B135" i="8"/>
  <c r="B130" i="8"/>
  <c r="B125" i="8"/>
  <c r="C6" i="5" s="1"/>
  <c r="B119" i="8"/>
  <c r="K142" i="7" s="1"/>
  <c r="B114" i="8"/>
  <c r="P107" i="7" s="1"/>
  <c r="B109" i="8"/>
  <c r="A82" i="7" s="1"/>
  <c r="B104" i="8"/>
  <c r="A78" i="7" s="1"/>
  <c r="B99" i="8"/>
  <c r="A73" i="7" s="1"/>
  <c r="B93" i="8"/>
  <c r="C29" i="3" s="1"/>
  <c r="A54" i="7" s="1"/>
  <c r="B88" i="8"/>
  <c r="C24" i="3" s="1"/>
  <c r="B83" i="8"/>
  <c r="B77" i="8"/>
  <c r="B72" i="8"/>
  <c r="C21" i="3" s="1"/>
  <c r="A63" i="7" s="1"/>
  <c r="B67" i="8"/>
  <c r="B61" i="8"/>
  <c r="C10" i="3" s="1"/>
  <c r="B56" i="8"/>
  <c r="F8" i="3" s="1"/>
  <c r="B51" i="8"/>
  <c r="C6" i="3" s="1"/>
  <c r="A28" i="7" s="1"/>
  <c r="B45" i="8"/>
  <c r="B15" i="2" s="1"/>
  <c r="B40" i="8"/>
  <c r="B35" i="8"/>
  <c r="B29" i="8"/>
  <c r="B24" i="8"/>
  <c r="B19" i="8"/>
  <c r="B13" i="8"/>
  <c r="B8" i="8"/>
  <c r="B139" i="8"/>
  <c r="B134" i="8"/>
  <c r="B129" i="8"/>
  <c r="B123" i="8"/>
  <c r="B118" i="8"/>
  <c r="K141" i="7" s="1"/>
  <c r="G121" i="7" s="1"/>
  <c r="B108" i="8"/>
  <c r="A81" i="7" s="1"/>
  <c r="B103" i="8"/>
  <c r="A77" i="7" s="1"/>
  <c r="B97" i="8"/>
  <c r="A71" i="7" s="1"/>
  <c r="B92" i="8"/>
  <c r="B87" i="8"/>
  <c r="B81" i="8"/>
  <c r="B76" i="8"/>
  <c r="B71" i="8"/>
  <c r="C20" i="3" s="1"/>
  <c r="B65" i="8"/>
  <c r="J16" i="3" s="1"/>
  <c r="A39" i="7" s="1"/>
  <c r="B60" i="8"/>
  <c r="C9" i="3" s="1"/>
  <c r="B55" i="8"/>
  <c r="F7" i="3" s="1"/>
  <c r="B49" i="8"/>
  <c r="C4" i="3" s="1"/>
  <c r="B44" i="8"/>
  <c r="B39" i="8"/>
  <c r="B33" i="8"/>
  <c r="B28" i="8"/>
  <c r="B23" i="8"/>
  <c r="B17" i="8"/>
  <c r="B12" i="8"/>
  <c r="B7" i="8"/>
  <c r="B138" i="8"/>
  <c r="B133" i="8"/>
  <c r="B127" i="8"/>
  <c r="B122" i="8"/>
  <c r="B3" i="4" s="1"/>
  <c r="B117" i="8"/>
  <c r="P110" i="7" s="1"/>
  <c r="N89" i="7" s="1"/>
  <c r="B107" i="8"/>
  <c r="A80" i="7" s="1"/>
  <c r="B101" i="8"/>
  <c r="A75" i="7" s="1"/>
  <c r="B96" i="8"/>
  <c r="B91" i="8"/>
  <c r="C28" i="3" s="1"/>
  <c r="B85" i="8"/>
  <c r="B80" i="8"/>
  <c r="B75" i="8"/>
  <c r="B69" i="8"/>
  <c r="B64" i="8"/>
  <c r="J14" i="3" s="1"/>
  <c r="B59" i="8"/>
  <c r="H8" i="3" s="1"/>
  <c r="B53" i="8"/>
  <c r="C8" i="3" s="1"/>
  <c r="A30" i="7" s="1"/>
  <c r="B48" i="8"/>
  <c r="C1" i="3" s="1"/>
  <c r="B43" i="8"/>
  <c r="B37" i="8"/>
  <c r="B32" i="8"/>
  <c r="B27" i="8"/>
  <c r="B21" i="8"/>
  <c r="B16" i="8"/>
  <c r="B11" i="8"/>
  <c r="B103" i="7"/>
  <c r="B119" i="7"/>
  <c r="N90" i="7"/>
  <c r="C122" i="7" s="1"/>
  <c r="D19" i="1" l="1"/>
  <c r="C3" i="5"/>
  <c r="B1" i="30"/>
  <c r="C31" i="3"/>
  <c r="A61" i="7" s="1"/>
  <c r="F146" i="7"/>
  <c r="F143" i="7"/>
  <c r="F123" i="7"/>
  <c r="F145" i="7"/>
  <c r="F138" i="7"/>
  <c r="F124" i="7"/>
  <c r="F126" i="7"/>
  <c r="N106" i="7"/>
  <c r="C138" i="7" s="1"/>
  <c r="N102" i="7"/>
  <c r="C134" i="7" s="1"/>
  <c r="N92" i="7"/>
  <c r="C124" i="7" s="1"/>
  <c r="N91" i="7"/>
  <c r="C123" i="7" s="1"/>
  <c r="N109" i="7"/>
  <c r="C141" i="7" s="1"/>
  <c r="F130" i="7"/>
  <c r="F131" i="7"/>
  <c r="F132" i="7"/>
  <c r="N111" i="7"/>
  <c r="C143" i="7" s="1"/>
  <c r="N101" i="7"/>
  <c r="C133" i="7" s="1"/>
  <c r="E133" i="7" s="1"/>
  <c r="F134" i="7"/>
  <c r="F139" i="7"/>
  <c r="F140" i="7"/>
  <c r="N94" i="7"/>
  <c r="C126" i="7" s="1"/>
  <c r="N97" i="7"/>
  <c r="C129" i="7" s="1"/>
  <c r="N93" i="7"/>
  <c r="C125" i="7" s="1"/>
  <c r="I9" i="2"/>
  <c r="I5" i="6"/>
  <c r="I14" i="6" s="1"/>
  <c r="E9" i="2"/>
  <c r="E5" i="6"/>
  <c r="E14" i="6" s="1"/>
  <c r="L5" i="6"/>
  <c r="L14" i="6" s="1"/>
  <c r="L9" i="2"/>
  <c r="L9" i="7"/>
  <c r="F9" i="7"/>
  <c r="M8" i="7"/>
  <c r="H8" i="7"/>
  <c r="B8" i="7"/>
  <c r="J7" i="7"/>
  <c r="E7" i="7"/>
  <c r="J9" i="7"/>
  <c r="E9" i="7"/>
  <c r="L8" i="7"/>
  <c r="F8" i="7"/>
  <c r="M9" i="7"/>
  <c r="B9" i="7"/>
  <c r="D8" i="7"/>
  <c r="I7" i="7"/>
  <c r="B7" i="7"/>
  <c r="I9" i="7"/>
  <c r="J8" i="7"/>
  <c r="G7" i="7"/>
  <c r="H9" i="7"/>
  <c r="I8" i="7"/>
  <c r="M7" i="7"/>
  <c r="F7" i="7"/>
  <c r="D9" i="7"/>
  <c r="E8" i="7"/>
  <c r="K7" i="7"/>
  <c r="C7" i="7"/>
  <c r="C8" i="7"/>
  <c r="G9" i="7"/>
  <c r="N105" i="7"/>
  <c r="C137" i="7" s="1"/>
  <c r="N104" i="7"/>
  <c r="C136" i="7" s="1"/>
  <c r="N95" i="7"/>
  <c r="C127" i="7" s="1"/>
  <c r="N108" i="7"/>
  <c r="C140" i="7" s="1"/>
  <c r="B7" i="6"/>
  <c r="B17" i="6" s="1"/>
  <c r="B11" i="2"/>
  <c r="N5" i="6"/>
  <c r="N14" i="6" s="1"/>
  <c r="N9" i="2"/>
  <c r="J5" i="6"/>
  <c r="J14" i="6" s="1"/>
  <c r="J9" i="2"/>
  <c r="B10" i="2"/>
  <c r="B6" i="6"/>
  <c r="B15" i="6" s="1"/>
  <c r="F129" i="7"/>
  <c r="F137" i="7"/>
  <c r="F127" i="7"/>
  <c r="F141" i="7"/>
  <c r="F128" i="7"/>
  <c r="F142" i="7"/>
  <c r="Q58" i="7"/>
  <c r="Q59" i="7" s="1"/>
  <c r="D7" i="7"/>
  <c r="G8" i="7"/>
  <c r="K9" i="7"/>
  <c r="G9" i="2"/>
  <c r="G5" i="6"/>
  <c r="G14" i="6" s="1"/>
  <c r="I18" i="5"/>
  <c r="C18" i="5"/>
  <c r="F5" i="6"/>
  <c r="F14" i="6" s="1"/>
  <c r="F9" i="2"/>
  <c r="D5" i="6"/>
  <c r="D14" i="6" s="1"/>
  <c r="D9" i="2"/>
  <c r="I15" i="5"/>
  <c r="C15" i="5"/>
  <c r="N107" i="7"/>
  <c r="C139" i="7" s="1"/>
  <c r="N110" i="7"/>
  <c r="C142" i="7" s="1"/>
  <c r="N103" i="7"/>
  <c r="C135" i="7" s="1"/>
  <c r="N112" i="7"/>
  <c r="C144" i="7" s="1"/>
  <c r="H7" i="7"/>
  <c r="K8" i="7"/>
  <c r="N100" i="7"/>
  <c r="C132" i="7" s="1"/>
  <c r="N99" i="7"/>
  <c r="C131" i="7" s="1"/>
  <c r="N98" i="7"/>
  <c r="C130" i="7" s="1"/>
  <c r="N114" i="7"/>
  <c r="C146" i="7" s="1"/>
  <c r="N96" i="7"/>
  <c r="C128" i="7" s="1"/>
  <c r="M9" i="2"/>
  <c r="M5" i="6"/>
  <c r="M14" i="6" s="1"/>
  <c r="C9" i="2"/>
  <c r="C5" i="6"/>
  <c r="C14" i="6" s="1"/>
  <c r="K9" i="2"/>
  <c r="K5" i="6"/>
  <c r="K14" i="6" s="1"/>
  <c r="H5" i="6"/>
  <c r="H14" i="6" s="1"/>
  <c r="H9" i="2"/>
  <c r="P109" i="7"/>
  <c r="K140" i="7"/>
  <c r="F125" i="7"/>
  <c r="F133" i="7"/>
  <c r="F122" i="7"/>
  <c r="F135" i="7"/>
  <c r="F144" i="7"/>
  <c r="F136" i="7"/>
  <c r="N113" i="7"/>
  <c r="C145" i="7" s="1"/>
  <c r="L7" i="7"/>
  <c r="C9" i="7"/>
  <c r="E131" i="7" l="1"/>
  <c r="O23" i="7"/>
  <c r="E124" i="7"/>
  <c r="E123" i="7"/>
  <c r="E128" i="7"/>
  <c r="E139" i="7"/>
  <c r="E143" i="7"/>
  <c r="E135" i="7"/>
  <c r="E122" i="7"/>
  <c r="G123" i="7" s="1"/>
  <c r="E142" i="7"/>
  <c r="E140" i="7"/>
  <c r="E137" i="7"/>
  <c r="E132" i="7"/>
  <c r="E126" i="7"/>
  <c r="E125" i="7"/>
  <c r="E130" i="7"/>
  <c r="E136" i="7"/>
  <c r="E145" i="7"/>
  <c r="F59" i="6"/>
  <c r="F54" i="6"/>
  <c r="F44" i="6"/>
  <c r="F34" i="6"/>
  <c r="F49" i="6"/>
  <c r="F19" i="6"/>
  <c r="F39" i="6"/>
  <c r="F29" i="6"/>
  <c r="F24" i="6"/>
  <c r="B52" i="6"/>
  <c r="B42" i="6"/>
  <c r="B32" i="6"/>
  <c r="B37" i="6"/>
  <c r="B22" i="6"/>
  <c r="B27" i="6"/>
  <c r="B62" i="6"/>
  <c r="B57" i="6"/>
  <c r="B47" i="6"/>
  <c r="L59" i="6"/>
  <c r="L49" i="6"/>
  <c r="L39" i="6"/>
  <c r="L29" i="6"/>
  <c r="L24" i="6"/>
  <c r="L54" i="6"/>
  <c r="L44" i="6"/>
  <c r="L19" i="6"/>
  <c r="L34" i="6"/>
  <c r="E34" i="6"/>
  <c r="E59" i="6"/>
  <c r="E49" i="6"/>
  <c r="E19" i="6"/>
  <c r="E54" i="6"/>
  <c r="E39" i="6"/>
  <c r="E44" i="6"/>
  <c r="E29" i="6"/>
  <c r="E24" i="6"/>
  <c r="C59" i="6"/>
  <c r="C54" i="6"/>
  <c r="C29" i="6"/>
  <c r="C44" i="6"/>
  <c r="C24" i="6"/>
  <c r="C49" i="6"/>
  <c r="C34" i="6"/>
  <c r="C39" i="6"/>
  <c r="C19" i="6"/>
  <c r="D49" i="6"/>
  <c r="D39" i="6"/>
  <c r="D29" i="6"/>
  <c r="D44" i="6"/>
  <c r="D24" i="6"/>
  <c r="D34" i="6"/>
  <c r="D59" i="6"/>
  <c r="D19" i="6"/>
  <c r="D54" i="6"/>
  <c r="E134" i="7"/>
  <c r="N44" i="6"/>
  <c r="N34" i="6"/>
  <c r="N59" i="6"/>
  <c r="N54" i="6"/>
  <c r="N29" i="6"/>
  <c r="N19" i="6"/>
  <c r="N49" i="6"/>
  <c r="N24" i="6"/>
  <c r="N39" i="6"/>
  <c r="K59" i="6"/>
  <c r="K49" i="6"/>
  <c r="K34" i="6"/>
  <c r="K39" i="6"/>
  <c r="K24" i="6"/>
  <c r="K54" i="6"/>
  <c r="K29" i="6"/>
  <c r="K44" i="6"/>
  <c r="K19" i="6"/>
  <c r="M54" i="6"/>
  <c r="M39" i="6"/>
  <c r="M59" i="6"/>
  <c r="M44" i="6"/>
  <c r="M29" i="6"/>
  <c r="M19" i="6"/>
  <c r="M34" i="6"/>
  <c r="M49" i="6"/>
  <c r="M24" i="6"/>
  <c r="J54" i="6"/>
  <c r="J44" i="6"/>
  <c r="J34" i="6"/>
  <c r="J19" i="6"/>
  <c r="J49" i="6"/>
  <c r="J59" i="6"/>
  <c r="J39" i="6"/>
  <c r="J24" i="6"/>
  <c r="J29" i="6"/>
  <c r="B60" i="6"/>
  <c r="B55" i="6"/>
  <c r="B45" i="6"/>
  <c r="B25" i="6"/>
  <c r="B50" i="6"/>
  <c r="B35" i="6"/>
  <c r="B40" i="6"/>
  <c r="B20" i="6"/>
  <c r="B30" i="6"/>
  <c r="E141" i="7"/>
  <c r="H49" i="6"/>
  <c r="H39" i="6"/>
  <c r="H29" i="6"/>
  <c r="H59" i="6"/>
  <c r="H54" i="6"/>
  <c r="H24" i="6"/>
  <c r="H44" i="6"/>
  <c r="H34" i="6"/>
  <c r="H19" i="6"/>
  <c r="E144" i="7"/>
  <c r="G59" i="6"/>
  <c r="G39" i="6"/>
  <c r="G54" i="6"/>
  <c r="G29" i="6"/>
  <c r="G24" i="6"/>
  <c r="G44" i="6"/>
  <c r="G49" i="6"/>
  <c r="G34" i="6"/>
  <c r="G19" i="6"/>
  <c r="E127" i="7"/>
  <c r="I44" i="6"/>
  <c r="I29" i="6"/>
  <c r="I34" i="6"/>
  <c r="I19" i="6"/>
  <c r="I49" i="6"/>
  <c r="I59" i="6"/>
  <c r="I54" i="6"/>
  <c r="I39" i="6"/>
  <c r="I24" i="6"/>
  <c r="E129" i="7"/>
  <c r="E138" i="7"/>
  <c r="P23" i="7" l="1"/>
  <c r="E18" i="5" s="1"/>
  <c r="G124" i="7"/>
  <c r="G125" i="7" s="1"/>
  <c r="G126" i="7" s="1"/>
  <c r="G127" i="7" s="1"/>
  <c r="G128" i="7" s="1"/>
  <c r="G129" i="7" s="1"/>
  <c r="G130" i="7" s="1"/>
  <c r="G131" i="7" s="1"/>
  <c r="G132" i="7" s="1"/>
  <c r="G133" i="7" s="1"/>
  <c r="G134" i="7" s="1"/>
  <c r="G135" i="7" s="1"/>
  <c r="G136" i="7" s="1"/>
  <c r="G137" i="7" s="1"/>
  <c r="G138" i="7" s="1"/>
  <c r="G139" i="7" s="1"/>
  <c r="G140" i="7" s="1"/>
  <c r="G141" i="7" s="1"/>
  <c r="G142" i="7" s="1"/>
  <c r="G143" i="7" s="1"/>
  <c r="G144" i="7" s="1"/>
  <c r="G145" i="7" s="1"/>
  <c r="G146" i="7" s="1"/>
  <c r="D7" i="6"/>
  <c r="D11" i="2" s="1"/>
  <c r="C5" i="7" s="1"/>
  <c r="C19" i="7" s="1"/>
  <c r="I6" i="6"/>
  <c r="I10" i="2" s="1"/>
  <c r="H4" i="7" s="1"/>
  <c r="H6" i="7" s="1"/>
  <c r="J7" i="6"/>
  <c r="J11" i="2" s="1"/>
  <c r="I5" i="7" s="1"/>
  <c r="I19" i="7" s="1"/>
  <c r="L7" i="6"/>
  <c r="L11" i="2" s="1"/>
  <c r="K5" i="7" s="1"/>
  <c r="K19" i="7" s="1"/>
  <c r="N7" i="6"/>
  <c r="N11" i="2" s="1"/>
  <c r="M5" i="7" s="1"/>
  <c r="M19" i="7" s="1"/>
  <c r="F7" i="6"/>
  <c r="F11" i="2" s="1"/>
  <c r="E5" i="7" s="1"/>
  <c r="E19" i="7" s="1"/>
  <c r="G6" i="6"/>
  <c r="G10" i="2" s="1"/>
  <c r="F4" i="7" s="1"/>
  <c r="H6" i="6"/>
  <c r="H10" i="2" s="1"/>
  <c r="G4" i="7" s="1"/>
  <c r="M7" i="6"/>
  <c r="M11" i="2" s="1"/>
  <c r="L5" i="7" s="1"/>
  <c r="L19" i="7" s="1"/>
  <c r="E7" i="6"/>
  <c r="E11" i="2" s="1"/>
  <c r="D5" i="7" s="1"/>
  <c r="D19" i="7" s="1"/>
  <c r="G7" i="6"/>
  <c r="G11" i="2" s="1"/>
  <c r="F5" i="7" s="1"/>
  <c r="F19" i="7" s="1"/>
  <c r="C7" i="6"/>
  <c r="C11" i="2" s="1"/>
  <c r="B5" i="7" s="1"/>
  <c r="B19" i="7" s="1"/>
  <c r="I7" i="6"/>
  <c r="I11" i="2" s="1"/>
  <c r="H5" i="7" s="1"/>
  <c r="H19" i="7" s="1"/>
  <c r="D6" i="6"/>
  <c r="D10" i="2" s="1"/>
  <c r="C4" i="7" s="1"/>
  <c r="C11" i="7" s="1"/>
  <c r="C12" i="7" s="1"/>
  <c r="C10" i="7" s="1"/>
  <c r="F6" i="6"/>
  <c r="F10" i="2" s="1"/>
  <c r="E4" i="7" s="1"/>
  <c r="E6" i="6"/>
  <c r="E10" i="2" s="1"/>
  <c r="D4" i="7" s="1"/>
  <c r="C6" i="6"/>
  <c r="C10" i="2" s="1"/>
  <c r="B4" i="7" s="1"/>
  <c r="B11" i="7" s="1"/>
  <c r="B12" i="7" s="1"/>
  <c r="L6" i="6"/>
  <c r="L10" i="2" s="1"/>
  <c r="K4" i="7" s="1"/>
  <c r="N6" i="6"/>
  <c r="N10" i="2" s="1"/>
  <c r="M4" i="7" s="1"/>
  <c r="K7" i="6"/>
  <c r="K11" i="2" s="1"/>
  <c r="J5" i="7" s="1"/>
  <c r="J19" i="7" s="1"/>
  <c r="H7" i="6"/>
  <c r="H11" i="2" s="1"/>
  <c r="G5" i="7" s="1"/>
  <c r="G19" i="7" s="1"/>
  <c r="K6" i="6"/>
  <c r="K10" i="2" s="1"/>
  <c r="J4" i="7" s="1"/>
  <c r="J6" i="7" s="1"/>
  <c r="M6" i="6"/>
  <c r="M10" i="2" s="1"/>
  <c r="L4" i="7" s="1"/>
  <c r="L6" i="7" s="1"/>
  <c r="J6" i="6"/>
  <c r="J10" i="2" s="1"/>
  <c r="I4" i="7" s="1"/>
  <c r="I6" i="7" s="1"/>
  <c r="O19" i="7" l="1"/>
  <c r="P19" i="7" s="1"/>
  <c r="E15" i="5" s="1"/>
  <c r="H11" i="7"/>
  <c r="H12" i="7" s="1"/>
  <c r="H10" i="7" s="1"/>
  <c r="H14" i="7"/>
  <c r="H15" i="7"/>
  <c r="E14" i="7"/>
  <c r="E6" i="7"/>
  <c r="K15" i="7"/>
  <c r="K6" i="7"/>
  <c r="C14" i="7"/>
  <c r="C6" i="7"/>
  <c r="C13" i="7" s="1"/>
  <c r="M14" i="7"/>
  <c r="M6" i="7"/>
  <c r="F11" i="7"/>
  <c r="F12" i="7" s="1"/>
  <c r="F10" i="7" s="1"/>
  <c r="F6" i="7"/>
  <c r="B14" i="7"/>
  <c r="B6" i="7"/>
  <c r="B13" i="7" s="1"/>
  <c r="D14" i="7"/>
  <c r="D6" i="7"/>
  <c r="G15" i="7"/>
  <c r="G6" i="7"/>
  <c r="D15" i="7"/>
  <c r="G11" i="7"/>
  <c r="G12" i="7" s="1"/>
  <c r="G10" i="7" s="1"/>
  <c r="G14" i="7"/>
  <c r="K11" i="7"/>
  <c r="K12" i="7" s="1"/>
  <c r="K10" i="7" s="1"/>
  <c r="D11" i="7"/>
  <c r="D12" i="7" s="1"/>
  <c r="D10" i="7" s="1"/>
  <c r="E15" i="7"/>
  <c r="M11" i="7"/>
  <c r="M12" i="7" s="1"/>
  <c r="M10" i="7" s="1"/>
  <c r="K14" i="7"/>
  <c r="C15" i="7"/>
  <c r="B15" i="7"/>
  <c r="F14" i="7"/>
  <c r="E11" i="7"/>
  <c r="E12" i="7" s="1"/>
  <c r="E10" i="7" s="1"/>
  <c r="F15" i="7"/>
  <c r="M15" i="7"/>
  <c r="I14" i="7"/>
  <c r="I15" i="7"/>
  <c r="I11" i="7"/>
  <c r="I12" i="7" s="1"/>
  <c r="I10" i="7" s="1"/>
  <c r="J15" i="7"/>
  <c r="J14" i="7"/>
  <c r="J11" i="7"/>
  <c r="J12" i="7" s="1"/>
  <c r="J10" i="7" s="1"/>
  <c r="L15" i="7"/>
  <c r="L14" i="7"/>
  <c r="L11" i="7"/>
  <c r="L12" i="7" s="1"/>
  <c r="L10" i="7" s="1"/>
  <c r="B10" i="7"/>
  <c r="E42" i="7"/>
  <c r="E45" i="7" s="1"/>
  <c r="B17" i="7" l="1"/>
  <c r="H13" i="7"/>
  <c r="H17" i="7" s="1"/>
  <c r="H21" i="7" s="1"/>
  <c r="F13" i="7"/>
  <c r="F17" i="7" s="1"/>
  <c r="F21" i="7" s="1"/>
  <c r="G13" i="7"/>
  <c r="G17" i="7" s="1"/>
  <c r="G21" i="7" s="1"/>
  <c r="K13" i="7"/>
  <c r="K17" i="7" s="1"/>
  <c r="K21" i="7" s="1"/>
  <c r="M13" i="7"/>
  <c r="M17" i="7" s="1"/>
  <c r="M21" i="7" s="1"/>
  <c r="D13" i="7"/>
  <c r="D17" i="7" s="1"/>
  <c r="D21" i="7" s="1"/>
  <c r="E13" i="7"/>
  <c r="E17" i="7" s="1"/>
  <c r="E21" i="7" s="1"/>
  <c r="C17" i="7"/>
  <c r="C21" i="7" s="1"/>
  <c r="N15" i="7"/>
  <c r="K9" i="5" s="1"/>
  <c r="N14" i="7"/>
  <c r="I13" i="7"/>
  <c r="I17" i="7" s="1"/>
  <c r="I21" i="7" s="1"/>
  <c r="P4" i="7"/>
  <c r="P7" i="7"/>
  <c r="L13" i="7"/>
  <c r="L17" i="7" s="1"/>
  <c r="L21" i="7" s="1"/>
  <c r="N6" i="7"/>
  <c r="N12" i="7"/>
  <c r="J13" i="7"/>
  <c r="J17" i="7" s="1"/>
  <c r="J21" i="7" s="1"/>
  <c r="U72" i="7"/>
  <c r="L31" i="10"/>
  <c r="B21" i="7" l="1"/>
  <c r="B22" i="7"/>
  <c r="I22" i="7"/>
  <c r="D20" i="7"/>
  <c r="D22" i="7"/>
  <c r="L20" i="7"/>
  <c r="L22" i="7"/>
  <c r="M20" i="7"/>
  <c r="M22" i="7"/>
  <c r="K20" i="7"/>
  <c r="K22" i="7"/>
  <c r="H20" i="7"/>
  <c r="H22" i="7"/>
  <c r="E20" i="7"/>
  <c r="E22" i="7"/>
  <c r="G20" i="7"/>
  <c r="G22" i="7"/>
  <c r="F20" i="7"/>
  <c r="F22" i="7"/>
  <c r="J20" i="7"/>
  <c r="J22" i="7"/>
  <c r="C20" i="7"/>
  <c r="C22" i="7"/>
  <c r="B20" i="7"/>
  <c r="I20" i="7"/>
  <c r="N13" i="7"/>
  <c r="K8" i="5" s="1"/>
  <c r="N17" i="7"/>
  <c r="K10" i="5" s="1"/>
  <c r="M10" i="5" s="1"/>
  <c r="O22" i="7" l="1"/>
  <c r="P22" i="7" s="1"/>
  <c r="O20" i="7"/>
  <c r="P20" i="7" s="1"/>
  <c r="K12" i="5" s="1"/>
  <c r="O21" i="7"/>
  <c r="P21" i="7" s="1"/>
  <c r="M23" i="5" l="1"/>
  <c r="K11" i="5"/>
  <c r="K15" i="5"/>
  <c r="M15" i="5" s="1"/>
  <c r="P74" i="7"/>
  <c r="P76" i="7"/>
  <c r="C12" i="28"/>
  <c r="L20" i="10" s="1"/>
  <c r="D23" i="5" l="1"/>
  <c r="C13" i="28" s="1"/>
  <c r="C15" i="28" s="1"/>
  <c r="S29" i="10" s="1"/>
  <c r="P72" i="7"/>
  <c r="K18" i="5"/>
  <c r="M18" i="5" s="1"/>
  <c r="L49" i="10"/>
  <c r="T49" i="10" s="1"/>
  <c r="K5" i="18"/>
  <c r="L5" i="18" s="1"/>
  <c r="E74" i="10" s="1"/>
  <c r="K3" i="18"/>
  <c r="L3" i="18" s="1"/>
  <c r="E72" i="10" s="1"/>
  <c r="D10" i="30" s="1"/>
  <c r="K11" i="18"/>
  <c r="L11" i="18" s="1"/>
  <c r="E80" i="10" s="1"/>
  <c r="Q65" i="10"/>
  <c r="Q66" i="10" s="1"/>
  <c r="K6" i="18"/>
  <c r="L6" i="18" s="1"/>
  <c r="E75" i="10" s="1"/>
  <c r="K9" i="18"/>
  <c r="L9" i="18" s="1"/>
  <c r="E78" i="10" s="1"/>
  <c r="K19" i="18"/>
  <c r="L19" i="18" s="1"/>
  <c r="E88" i="10" s="1"/>
  <c r="K13" i="18"/>
  <c r="L13" i="18" s="1"/>
  <c r="E82" i="10" s="1"/>
  <c r="K18" i="18"/>
  <c r="L18" i="18" s="1"/>
  <c r="E87" i="10" s="1"/>
  <c r="K16" i="18"/>
  <c r="L16" i="18" s="1"/>
  <c r="E85" i="10" s="1"/>
  <c r="K2" i="18"/>
  <c r="L2" i="18" s="1"/>
  <c r="E71" i="10" s="1"/>
  <c r="K15" i="18"/>
  <c r="L15" i="18" s="1"/>
  <c r="E84" i="10" s="1"/>
  <c r="L25" i="10"/>
  <c r="Y38" i="10" s="1"/>
  <c r="K10" i="18"/>
  <c r="L10" i="18" s="1"/>
  <c r="E79" i="10" s="1"/>
  <c r="K4" i="18"/>
  <c r="L4" i="18" s="1"/>
  <c r="E73" i="10" s="1"/>
  <c r="K8" i="18"/>
  <c r="L8" i="18" s="1"/>
  <c r="E77" i="10" s="1"/>
  <c r="K17" i="18"/>
  <c r="L17" i="18" s="1"/>
  <c r="E86" i="10" s="1"/>
  <c r="K14" i="18"/>
  <c r="L14" i="18" s="1"/>
  <c r="E83" i="10" s="1"/>
  <c r="K7" i="18"/>
  <c r="L7" i="18" s="1"/>
  <c r="E76" i="10" s="1"/>
  <c r="K12" i="18"/>
  <c r="L12" i="18" s="1"/>
  <c r="E81" i="10" s="1"/>
  <c r="I23" i="5" l="1"/>
  <c r="G18" i="18"/>
  <c r="H18" i="18" s="1"/>
  <c r="D87" i="10" s="1"/>
  <c r="S31" i="10"/>
  <c r="AC38" i="10" s="1"/>
  <c r="G17" i="18"/>
  <c r="H17" i="18" s="1"/>
  <c r="D86" i="10" s="1"/>
  <c r="G7" i="18"/>
  <c r="H7" i="18" s="1"/>
  <c r="D76" i="10" s="1"/>
  <c r="G2" i="18"/>
  <c r="H2" i="18" s="1"/>
  <c r="D71" i="10" s="1"/>
  <c r="G9" i="18"/>
  <c r="H9" i="18" s="1"/>
  <c r="D78" i="10" s="1"/>
  <c r="G15" i="18"/>
  <c r="H15" i="18" s="1"/>
  <c r="D84" i="10" s="1"/>
  <c r="G14" i="18"/>
  <c r="H14" i="18" s="1"/>
  <c r="D83" i="10" s="1"/>
  <c r="G3" i="18"/>
  <c r="H3" i="18" s="1"/>
  <c r="D72" i="10" s="1"/>
  <c r="D9" i="30" s="1"/>
  <c r="G5" i="18"/>
  <c r="H5" i="18" s="1"/>
  <c r="D74" i="10" s="1"/>
  <c r="G6" i="18"/>
  <c r="H6" i="18" s="1"/>
  <c r="D75" i="10" s="1"/>
  <c r="G12" i="18"/>
  <c r="H12" i="18" s="1"/>
  <c r="D81" i="10" s="1"/>
  <c r="G11" i="18"/>
  <c r="H11" i="18" s="1"/>
  <c r="D80" i="10" s="1"/>
  <c r="G13" i="18"/>
  <c r="H13" i="18" s="1"/>
  <c r="D82" i="10" s="1"/>
  <c r="G10" i="18"/>
  <c r="H10" i="18" s="1"/>
  <c r="D79" i="10" s="1"/>
  <c r="L50" i="10"/>
  <c r="T50" i="10" s="1"/>
  <c r="G4" i="18"/>
  <c r="H4" i="18" s="1"/>
  <c r="D73" i="10" s="1"/>
  <c r="G8" i="18"/>
  <c r="H8" i="18" s="1"/>
  <c r="D77" i="10" s="1"/>
  <c r="G16" i="18"/>
  <c r="H16" i="18" s="1"/>
  <c r="D85" i="10" s="1"/>
  <c r="G19" i="18"/>
  <c r="H19" i="18" s="1"/>
  <c r="D88" i="10" s="1"/>
  <c r="C16" i="28" l="1"/>
  <c r="C18" i="28" s="1"/>
  <c r="S22" i="10" s="1"/>
  <c r="C9" i="18" s="1"/>
  <c r="D9" i="18" s="1"/>
  <c r="C78" i="10" s="1"/>
  <c r="AA44" i="10"/>
  <c r="Q72" i="10" s="1"/>
  <c r="I15" i="10" s="1"/>
  <c r="Q68" i="10" l="1"/>
  <c r="Q69" i="10" s="1"/>
  <c r="L51" i="10"/>
  <c r="T51" i="10" s="1"/>
  <c r="U52" i="10" s="1"/>
  <c r="S24" i="10"/>
  <c r="AA38" i="10" s="1"/>
  <c r="C16" i="18"/>
  <c r="D16" i="18" s="1"/>
  <c r="C85" i="10" s="1"/>
  <c r="C17" i="18"/>
  <c r="D17" i="18" s="1"/>
  <c r="C86" i="10" s="1"/>
  <c r="C10" i="18"/>
  <c r="D10" i="18" s="1"/>
  <c r="C79" i="10" s="1"/>
  <c r="C13" i="18"/>
  <c r="D13" i="18" s="1"/>
  <c r="N13" i="18" s="1"/>
  <c r="C12" i="18"/>
  <c r="D12" i="18" s="1"/>
  <c r="C81" i="10" s="1"/>
  <c r="E102" i="10" s="1"/>
  <c r="C2" i="18"/>
  <c r="D2" i="18" s="1"/>
  <c r="N2" i="18" s="1"/>
  <c r="C15" i="18"/>
  <c r="D15" i="18" s="1"/>
  <c r="N15" i="18" s="1"/>
  <c r="C11" i="18"/>
  <c r="D11" i="18" s="1"/>
  <c r="C80" i="10" s="1"/>
  <c r="C7" i="18"/>
  <c r="D7" i="18" s="1"/>
  <c r="N7" i="18" s="1"/>
  <c r="C14" i="18"/>
  <c r="D14" i="18" s="1"/>
  <c r="N14" i="18" s="1"/>
  <c r="C3" i="18"/>
  <c r="D3" i="18" s="1"/>
  <c r="N3" i="18" s="1"/>
  <c r="C6" i="18"/>
  <c r="D6" i="18" s="1"/>
  <c r="N6" i="18" s="1"/>
  <c r="C5" i="18"/>
  <c r="D5" i="18" s="1"/>
  <c r="C74" i="10" s="1"/>
  <c r="C4" i="18"/>
  <c r="D4" i="18" s="1"/>
  <c r="C19" i="18"/>
  <c r="D19" i="18" s="1"/>
  <c r="C88" i="10" s="1"/>
  <c r="C18" i="18"/>
  <c r="D18" i="18" s="1"/>
  <c r="C87" i="10" s="1"/>
  <c r="C8" i="18"/>
  <c r="D8" i="18" s="1"/>
  <c r="C77" i="10" s="1"/>
  <c r="J98" i="10" s="1"/>
  <c r="N9" i="18"/>
  <c r="C73" i="10"/>
  <c r="N4" i="18"/>
  <c r="C99" i="10"/>
  <c r="O99" i="10"/>
  <c r="L99" i="10"/>
  <c r="I99" i="10"/>
  <c r="F99" i="10"/>
  <c r="G99" i="10"/>
  <c r="N99" i="10"/>
  <c r="K99" i="10"/>
  <c r="M99" i="10"/>
  <c r="H99" i="10"/>
  <c r="J99" i="10"/>
  <c r="E99" i="10"/>
  <c r="D99" i="10"/>
  <c r="U47" i="10" l="1"/>
  <c r="U45" i="10"/>
  <c r="C102" i="10"/>
  <c r="C82" i="10"/>
  <c r="H103" i="10" s="1"/>
  <c r="K102" i="10"/>
  <c r="M102" i="10"/>
  <c r="J102" i="10"/>
  <c r="C98" i="10"/>
  <c r="N17" i="18"/>
  <c r="C71" i="10"/>
  <c r="N92" i="10" s="1"/>
  <c r="C76" i="10"/>
  <c r="N97" i="10" s="1"/>
  <c r="D102" i="10"/>
  <c r="C84" i="10"/>
  <c r="D105" i="10" s="1"/>
  <c r="G102" i="10"/>
  <c r="H102" i="10"/>
  <c r="O102" i="10"/>
  <c r="N12" i="18"/>
  <c r="N102" i="10"/>
  <c r="L102" i="10"/>
  <c r="I102" i="10"/>
  <c r="C75" i="10"/>
  <c r="N96" i="10" s="1"/>
  <c r="N10" i="18"/>
  <c r="N8" i="18"/>
  <c r="I98" i="10"/>
  <c r="R72" i="10"/>
  <c r="D21" i="30" s="1"/>
  <c r="K98" i="10"/>
  <c r="U50" i="10"/>
  <c r="H98" i="10"/>
  <c r="U46" i="10"/>
  <c r="M98" i="10"/>
  <c r="U48" i="10"/>
  <c r="F98" i="10"/>
  <c r="U49" i="10"/>
  <c r="G98" i="10"/>
  <c r="U43" i="10"/>
  <c r="F102" i="10"/>
  <c r="O98" i="10"/>
  <c r="U44" i="10"/>
  <c r="N98" i="10"/>
  <c r="C72" i="10"/>
  <c r="L93" i="10" s="1"/>
  <c r="N16" i="18"/>
  <c r="C83" i="10"/>
  <c r="G104" i="10" s="1"/>
  <c r="N11" i="18"/>
  <c r="N19" i="18"/>
  <c r="E98" i="10"/>
  <c r="N5" i="18"/>
  <c r="D98" i="10"/>
  <c r="L98" i="10"/>
  <c r="U51" i="10"/>
  <c r="N18" i="18"/>
  <c r="L100" i="10"/>
  <c r="K100" i="10"/>
  <c r="N100" i="10"/>
  <c r="H100" i="10"/>
  <c r="J100" i="10"/>
  <c r="C100" i="10"/>
  <c r="G100" i="10"/>
  <c r="M100" i="10"/>
  <c r="I100" i="10"/>
  <c r="F100" i="10"/>
  <c r="O100" i="10"/>
  <c r="D100" i="10"/>
  <c r="E100" i="10"/>
  <c r="J106" i="10"/>
  <c r="O106" i="10"/>
  <c r="G106" i="10"/>
  <c r="C106" i="10"/>
  <c r="L106" i="10"/>
  <c r="I106" i="10"/>
  <c r="K106" i="10"/>
  <c r="F106" i="10"/>
  <c r="N106" i="10"/>
  <c r="M106" i="10"/>
  <c r="H106" i="10"/>
  <c r="E106" i="10"/>
  <c r="D106" i="10"/>
  <c r="O94" i="10"/>
  <c r="I94" i="10"/>
  <c r="G94" i="10"/>
  <c r="L94" i="10"/>
  <c r="H94" i="10"/>
  <c r="C94" i="10"/>
  <c r="N94" i="10"/>
  <c r="F94" i="10"/>
  <c r="K94" i="10"/>
  <c r="J94" i="10"/>
  <c r="M94" i="10"/>
  <c r="D94" i="10"/>
  <c r="E94" i="10"/>
  <c r="G103" i="10"/>
  <c r="N103" i="10"/>
  <c r="AB71" i="10"/>
  <c r="I109" i="10"/>
  <c r="F109" i="10"/>
  <c r="L109" i="10"/>
  <c r="K109" i="10"/>
  <c r="O109" i="10"/>
  <c r="H109" i="10"/>
  <c r="M109" i="10"/>
  <c r="J109" i="10"/>
  <c r="G109" i="10"/>
  <c r="N109" i="10"/>
  <c r="C109" i="10"/>
  <c r="D109" i="10"/>
  <c r="E109" i="10"/>
  <c r="N107" i="10"/>
  <c r="J107" i="10"/>
  <c r="G107" i="10"/>
  <c r="C107" i="10"/>
  <c r="F107" i="10"/>
  <c r="I107" i="10"/>
  <c r="O107" i="10"/>
  <c r="H107" i="10"/>
  <c r="L107" i="10"/>
  <c r="M107" i="10"/>
  <c r="K107" i="10"/>
  <c r="D107" i="10"/>
  <c r="E107" i="10"/>
  <c r="F101" i="10"/>
  <c r="J101" i="10"/>
  <c r="C101" i="10"/>
  <c r="G101" i="10"/>
  <c r="K101" i="10"/>
  <c r="AC71" i="10"/>
  <c r="M101" i="10"/>
  <c r="O101" i="10"/>
  <c r="L101" i="10"/>
  <c r="I101" i="10"/>
  <c r="H101" i="10"/>
  <c r="N101" i="10"/>
  <c r="D101" i="10"/>
  <c r="E101" i="10"/>
  <c r="J108" i="10"/>
  <c r="O108" i="10"/>
  <c r="K108" i="10"/>
  <c r="C108" i="10"/>
  <c r="H108" i="10"/>
  <c r="I108" i="10"/>
  <c r="G108" i="10"/>
  <c r="N108" i="10"/>
  <c r="L108" i="10"/>
  <c r="F108" i="10"/>
  <c r="M108" i="10"/>
  <c r="D108" i="10"/>
  <c r="E108" i="10"/>
  <c r="K95" i="10"/>
  <c r="N95" i="10"/>
  <c r="J95" i="10"/>
  <c r="C95" i="10"/>
  <c r="I95" i="10"/>
  <c r="H95" i="10"/>
  <c r="O95" i="10"/>
  <c r="M95" i="10"/>
  <c r="L95" i="10"/>
  <c r="G95" i="10"/>
  <c r="F95" i="10"/>
  <c r="E95" i="10"/>
  <c r="D95" i="10"/>
  <c r="AA71" i="10" l="1"/>
  <c r="C103" i="10"/>
  <c r="F103" i="10"/>
  <c r="O103" i="10"/>
  <c r="E103" i="10"/>
  <c r="I103" i="10"/>
  <c r="D103" i="10"/>
  <c r="J103" i="10"/>
  <c r="M105" i="10"/>
  <c r="L103" i="10"/>
  <c r="K103" i="10"/>
  <c r="M103" i="10"/>
  <c r="K92" i="10"/>
  <c r="G92" i="10"/>
  <c r="M92" i="10"/>
  <c r="F92" i="10"/>
  <c r="I92" i="10"/>
  <c r="C92" i="10"/>
  <c r="L92" i="10"/>
  <c r="E97" i="10"/>
  <c r="E92" i="10"/>
  <c r="D97" i="10"/>
  <c r="D92" i="10"/>
  <c r="J105" i="10"/>
  <c r="F105" i="10"/>
  <c r="K105" i="10"/>
  <c r="C97" i="10"/>
  <c r="H92" i="10"/>
  <c r="K97" i="10"/>
  <c r="J92" i="10"/>
  <c r="F97" i="10"/>
  <c r="I96" i="10"/>
  <c r="J96" i="10"/>
  <c r="G97" i="10"/>
  <c r="O92" i="10"/>
  <c r="J97" i="10"/>
  <c r="O97" i="10"/>
  <c r="L105" i="10"/>
  <c r="M97" i="10"/>
  <c r="L96" i="10"/>
  <c r="O105" i="10"/>
  <c r="I97" i="10"/>
  <c r="F96" i="10"/>
  <c r="C105" i="10"/>
  <c r="H105" i="10"/>
  <c r="G105" i="10"/>
  <c r="H97" i="10"/>
  <c r="I105" i="10"/>
  <c r="N105" i="10"/>
  <c r="L97" i="10"/>
  <c r="Z71" i="10"/>
  <c r="E96" i="10"/>
  <c r="K96" i="10"/>
  <c r="C96" i="10"/>
  <c r="O96" i="10"/>
  <c r="E105" i="10"/>
  <c r="G96" i="10"/>
  <c r="D96" i="10"/>
  <c r="H96" i="10"/>
  <c r="I93" i="10"/>
  <c r="M93" i="10"/>
  <c r="C93" i="10"/>
  <c r="M96" i="10"/>
  <c r="E104" i="10"/>
  <c r="D104" i="10"/>
  <c r="C104" i="10"/>
  <c r="G93" i="10"/>
  <c r="N104" i="10"/>
  <c r="N93" i="10"/>
  <c r="I104" i="10"/>
  <c r="J93" i="10"/>
  <c r="D8" i="30"/>
  <c r="M104" i="10"/>
  <c r="K93" i="10"/>
  <c r="S14" i="10"/>
  <c r="G28" i="30" s="1"/>
  <c r="F104" i="10"/>
  <c r="I14" i="10"/>
  <c r="W38" i="10" s="1"/>
  <c r="C24" i="30" s="1"/>
  <c r="Z74" i="10"/>
  <c r="O104" i="10"/>
  <c r="J104" i="10"/>
  <c r="E93" i="10"/>
  <c r="D93" i="10"/>
  <c r="H93" i="10"/>
  <c r="O93" i="10"/>
  <c r="F93" i="10"/>
  <c r="K104" i="10"/>
  <c r="L104" i="10"/>
  <c r="H104" i="10"/>
  <c r="J15" i="10" l="1"/>
  <c r="L14" i="10"/>
  <c r="J14"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tc={7B098AD4-C169-4FCF-91D7-6B3A987969D2}</author>
    <author>tc={6707417B-8A3A-4044-A8AE-5AD8D022E818}</author>
    <author>tc={2859266B-F5C0-426C-B9C1-20CF4A2BB4F4}</author>
  </authors>
  <commentList>
    <comment ref="E25" authorId="0" shapeId="0" xr:uid="{7B098AD4-C169-4FCF-91D7-6B3A987969D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This is the steel we added to the foundations</t>
      </text>
    </comment>
    <comment ref="F26" authorId="1" shapeId="0" xr:uid="{6707417B-8A3A-4044-A8AE-5AD8D022E81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This is the total timber length for the entire external structure, including the PV panel support</t>
      </text>
    </comment>
    <comment ref="F36" authorId="2" shapeId="0" xr:uid="{2859266B-F5C0-426C-B9C1-20CF4A2BB4F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This is the separation distance between bamboo trunks in the mesh</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tc={06300C5D-C0FC-4D81-A22D-D9CAB51497C3}</author>
  </authors>
  <commentList>
    <comment ref="L22" authorId="0" shapeId="0" xr:uid="{06300C5D-C0FC-4D81-A22D-D9CAB51497C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This now includes the loss where the doors are</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A992FEA2-EE95-4EE9-B871-3A211A3A0730}" name="Query - Bamboo" description="Connection to the 'Bamboo' query in the workbook." type="100" refreshedVersion="8" minRefreshableVersion="5">
    <extLst>
      <ext xmlns:x15="http://schemas.microsoft.com/office/spreadsheetml/2010/11/main" uri="{DE250136-89BD-433C-8126-D09CA5730AF9}">
        <x15:connection id="a58f3862-5079-4a46-836d-5d0be5ce1044"/>
      </ext>
    </extLst>
  </connection>
  <connection id="2" xr16:uid="{6774525D-0C23-4ECE-94DE-1BAEDF3387FA}" name="Query - Batteries" description="Connection to the 'Batteries' query in the workbook." type="100" refreshedVersion="8" minRefreshableVersion="5">
    <extLst>
      <ext xmlns:x15="http://schemas.microsoft.com/office/spreadsheetml/2010/11/main" uri="{DE250136-89BD-433C-8126-D09CA5730AF9}">
        <x15:connection id="022b45c3-81fb-4f7a-9f76-75d7e7359344"/>
      </ext>
    </extLst>
  </connection>
  <connection id="3" xr16:uid="{C5C7984E-9767-47BE-BF66-294584133629}" name="Query - Biogenic" description="Connection to the 'Biogenic' query in the workbook." type="100" refreshedVersion="8" minRefreshableVersion="5">
    <extLst>
      <ext xmlns:x15="http://schemas.microsoft.com/office/spreadsheetml/2010/11/main" uri="{DE250136-89BD-433C-8126-D09CA5730AF9}">
        <x15:connection id="af8becc6-feb2-4267-a7f4-702e32376c33"/>
      </ext>
    </extLst>
  </connection>
  <connection id="4" xr16:uid="{76399224-A7B5-49D7-A9EC-8695FA9BEFD5}" name="Query - Charcooler" description="Connection to the 'Charcooler' query in the workbook." type="100" refreshedVersion="8" minRefreshableVersion="5">
    <extLst>
      <ext xmlns:x15="http://schemas.microsoft.com/office/spreadsheetml/2010/11/main" uri="{DE250136-89BD-433C-8126-D09CA5730AF9}">
        <x15:connection id="0001a51b-1d31-4a02-a15c-2cfd261d7e0c"/>
      </ext>
    </extLst>
  </connection>
  <connection id="5" xr16:uid="{86E0566D-14D0-442D-B1F1-EBC0A9989CE7}" name="Query - Construction" description="Connection to the 'Construction' query in the workbook." type="100" refreshedVersion="8" minRefreshableVersion="5">
    <extLst>
      <ext xmlns:x15="http://schemas.microsoft.com/office/spreadsheetml/2010/11/main" uri="{DE250136-89BD-433C-8126-D09CA5730AF9}">
        <x15:connection id="b3258d35-6480-4436-a7a7-8df247362a8c"/>
      </ext>
    </extLst>
  </connection>
  <connection id="6" xr16:uid="{78A64A16-6036-4139-A666-E2BFD09C7507}" name="Query - Cooling" description="Connection to the 'Cooling' query in the workbook." type="100" refreshedVersion="8" minRefreshableVersion="5">
    <extLst>
      <ext xmlns:x15="http://schemas.microsoft.com/office/spreadsheetml/2010/11/main" uri="{DE250136-89BD-433C-8126-D09CA5730AF9}">
        <x15:connection id="406de077-b4ee-4251-ab6b-3cfc388a4f1d"/>
      </ext>
    </extLst>
  </connection>
  <connection id="7" xr16:uid="{9CADDFE7-0C2B-401A-830F-90B994F94162}" name="Query - Doors" description="Connection to the 'Doors' query in the workbook." type="100" refreshedVersion="8" minRefreshableVersion="5">
    <extLst>
      <ext xmlns:x15="http://schemas.microsoft.com/office/spreadsheetml/2010/11/main" uri="{DE250136-89BD-433C-8126-D09CA5730AF9}">
        <x15:connection id="1dda536f-5946-42b5-a062-e2a50e87aafc"/>
      </ext>
    </extLst>
  </connection>
  <connection id="8" xr16:uid="{EDEDB5E2-999E-47EF-A025-D86CB5E675BD}" name="Query - Ecoboards" description="Connection to the 'Ecoboards' query in the workbook." type="100" refreshedVersion="8" minRefreshableVersion="5">
    <extLst>
      <ext xmlns:x15="http://schemas.microsoft.com/office/spreadsheetml/2010/11/main" uri="{DE250136-89BD-433C-8126-D09CA5730AF9}">
        <x15:connection id="ed354551-2d0a-4348-8f80-e2db606c7c8e"/>
      </ext>
    </extLst>
  </connection>
  <connection id="9" xr16:uid="{98C502AB-2CB1-424E-AADA-8F5EC36F5959}" name="Query - figures for pres" description="Connection to the 'figures for pres' query in the workbook." type="100" refreshedVersion="8" minRefreshableVersion="5">
    <extLst>
      <ext xmlns:x15="http://schemas.microsoft.com/office/spreadsheetml/2010/11/main" uri="{DE250136-89BD-433C-8126-D09CA5730AF9}">
        <x15:connection id="233ea7f1-2fea-44c1-a05d-8b2da6216877"/>
      </ext>
    </extLst>
  </connection>
  <connection id="10" xr16:uid="{66EE961E-18CE-4BAD-BE38-7657B9FABE06}" name="Query - Foundations" description="Connection to the 'Foundations' query in the workbook." type="100" refreshedVersion="8" minRefreshableVersion="5">
    <extLst>
      <ext xmlns:x15="http://schemas.microsoft.com/office/spreadsheetml/2010/11/main" uri="{DE250136-89BD-433C-8126-D09CA5730AF9}">
        <x15:connection id="bdfa2741-3982-442a-ae8e-6c8f4e781fd1"/>
      </ext>
    </extLst>
  </connection>
  <connection id="11" xr16:uid="{3159DEFC-29C4-4E5E-B3B6-91785183EA1A}" name="Query - Insulation" description="Connection to the 'Insulation' query in the workbook." type="100" refreshedVersion="8" minRefreshableVersion="5">
    <extLst>
      <ext xmlns:x15="http://schemas.microsoft.com/office/spreadsheetml/2010/11/main" uri="{DE250136-89BD-433C-8126-D09CA5730AF9}">
        <x15:connection id="69658f73-d44d-461d-8d29-e80c309d97ca"/>
      </ext>
    </extLst>
  </connection>
  <connection id="12" xr16:uid="{0A9B38E0-90C2-4534-B48C-A203ED102A2B}" name="Query - Main" description="Connection to the 'Main' query in the workbook." type="100" refreshedVersion="8" minRefreshableVersion="5">
    <extLst>
      <ext xmlns:x15="http://schemas.microsoft.com/office/spreadsheetml/2010/11/main" uri="{DE250136-89BD-433C-8126-D09CA5730AF9}">
        <x15:connection id="9856caf5-8877-4274-acad-07b41888e82e"/>
      </ext>
    </extLst>
  </connection>
  <connection id="13" xr16:uid="{B99B8D7B-E064-4095-A8CD-3E14B6820C0E}" name="Query - Output" description="Connection to the 'Output' query in the workbook." type="100" refreshedVersion="8" minRefreshableVersion="5">
    <extLst>
      <ext xmlns:x15="http://schemas.microsoft.com/office/spreadsheetml/2010/11/main" uri="{DE250136-89BD-433C-8126-D09CA5730AF9}">
        <x15:connection id="56affdec-f55f-48cf-a9fc-8d69c62a5480"/>
      </ext>
    </extLst>
  </connection>
  <connection id="14" xr16:uid="{8A1EDD00-8680-4360-BF82-8CCCF59F33A7}" name="Query - PV" description="Connection to the 'PV' query in the workbook." type="100" refreshedVersion="8" minRefreshableVersion="5">
    <extLst>
      <ext xmlns:x15="http://schemas.microsoft.com/office/spreadsheetml/2010/11/main" uri="{DE250136-89BD-433C-8126-D09CA5730AF9}">
        <x15:connection id="9b9e64b8-2142-4494-8ec9-cfe37d2adb39"/>
      </ext>
    </extLst>
  </connection>
  <connection id="15" xr16:uid="{BE15A0A4-33B2-4D6F-A1E3-F1094DC243A2}" name="Query - Timber" description="Connection to the 'Timber' query in the workbook." type="100" refreshedVersion="8" minRefreshableVersion="5">
    <extLst>
      <ext xmlns:x15="http://schemas.microsoft.com/office/spreadsheetml/2010/11/main" uri="{DE250136-89BD-433C-8126-D09CA5730AF9}">
        <x15:connection id="dd43a8b1-5e1f-4ef8-bbf9-a24e97137427"/>
      </ext>
    </extLst>
  </connection>
  <connection id="16" xr16:uid="{74D2F425-1D0B-46C6-93F9-6F25F25D6371}" name="Query - Transport" description="Connection to the 'Transport' query in the workbook." type="100" refreshedVersion="8" minRefreshableVersion="5">
    <extLst>
      <ext xmlns:x15="http://schemas.microsoft.com/office/spreadsheetml/2010/11/main" uri="{DE250136-89BD-433C-8126-D09CA5730AF9}">
        <x15:connection id="ae40e1d2-bbb9-4287-9912-8593151e8bbc"/>
      </ext>
    </extLst>
  </connection>
  <connection id="17" xr16:uid="{72FC5A23-8175-4A41-A049-B1C4413C7CB7}" name="Query - Vapour" description="Connection to the 'Vapour' query in the workbook." type="100" refreshedVersion="8" minRefreshableVersion="5">
    <extLst>
      <ext xmlns:x15="http://schemas.microsoft.com/office/spreadsheetml/2010/11/main" uri="{DE250136-89BD-433C-8126-D09CA5730AF9}">
        <x15:connection id="db092334-989c-472b-a364-1041fe0a7d7c"/>
      </ext>
    </extLst>
  </connection>
  <connection id="18" xr16:uid="{7F1116D8-E744-44C2-BF26-94F58B206B71}" name="Query - Water tank" description="Connection to the 'Water tank' query in the workbook." type="100" refreshedVersion="8" minRefreshableVersion="5">
    <extLst>
      <ext xmlns:x15="http://schemas.microsoft.com/office/spreadsheetml/2010/11/main" uri="{DE250136-89BD-433C-8126-D09CA5730AF9}">
        <x15:connection id="18d7ef9d-1835-441d-994a-7ce7e0769681"/>
      </ext>
    </extLst>
  </connection>
  <connection id="19" xr16:uid="{1F9EC750-B13A-4A52-804C-F3669952E181}"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<sst xmlns="http://schemas.openxmlformats.org/spreadsheetml/2006/main" count="2247" uniqueCount="856">
  <si>
    <t>Language:</t>
  </si>
  <si>
    <t>English</t>
  </si>
  <si>
    <t>Kigali (Rwanda)</t>
  </si>
  <si>
    <t>https://re.jrc.ec.europa.eu/pvg_tools/en/</t>
  </si>
  <si>
    <t>kg/day</t>
  </si>
  <si>
    <t>r =</t>
  </si>
  <si>
    <t>m</t>
  </si>
  <si>
    <t>δ =</t>
  </si>
  <si>
    <t>kg/m³</t>
  </si>
  <si>
    <t>h =</t>
  </si>
  <si>
    <t>W/m²K</t>
  </si>
  <si>
    <r>
      <rPr>
        <sz val="11"/>
        <color theme="1"/>
        <rFont val="Calibri"/>
        <family val="2"/>
      </rPr>
      <t>T</t>
    </r>
    <r>
      <rPr>
        <vertAlign val="subscript"/>
        <sz val="11"/>
        <color theme="1"/>
        <rFont val="Calibri"/>
        <family val="2"/>
      </rPr>
      <t>i</t>
    </r>
    <r>
      <rPr>
        <sz val="11"/>
        <color theme="1"/>
        <rFont val="Calibri"/>
        <family val="2"/>
      </rPr>
      <t xml:space="preserve"> =</t>
    </r>
  </si>
  <si>
    <t>°C</t>
  </si>
  <si>
    <r>
      <rPr>
        <sz val="11"/>
        <color theme="1"/>
        <rFont val="Calibri"/>
        <family val="2"/>
      </rPr>
      <t>T</t>
    </r>
    <r>
      <rPr>
        <vertAlign val="subscript"/>
        <sz val="11"/>
        <color theme="1"/>
        <rFont val="Calibri"/>
        <family val="2"/>
      </rPr>
      <t>m</t>
    </r>
    <r>
      <rPr>
        <sz val="11"/>
        <color theme="1"/>
        <rFont val="Calibri"/>
        <family val="2"/>
      </rPr>
      <t xml:space="preserve"> =</t>
    </r>
  </si>
  <si>
    <t>Yes</t>
  </si>
  <si>
    <t>%</t>
  </si>
  <si>
    <t>x =</t>
  </si>
  <si>
    <t>y =</t>
  </si>
  <si>
    <t>z =</t>
  </si>
  <si>
    <t>W/m K</t>
  </si>
  <si>
    <t>L =</t>
  </si>
  <si>
    <t>No</t>
  </si>
  <si>
    <t>Total</t>
  </si>
  <si>
    <t>For water pump and heat exchanger fan</t>
  </si>
  <si>
    <t>For cooling units</t>
  </si>
  <si>
    <t>Total Cooling Demand</t>
  </si>
  <si>
    <t>kWh/day</t>
  </si>
  <si>
    <t>-</t>
  </si>
  <si>
    <t>Electricity consumption</t>
  </si>
  <si>
    <t>Ice Storage size needed</t>
  </si>
  <si>
    <t>L</t>
  </si>
  <si>
    <t>units</t>
  </si>
  <si>
    <t>Wp</t>
  </si>
  <si>
    <t>Selection:</t>
  </si>
  <si>
    <t>Kenya (Kisumu)</t>
  </si>
  <si>
    <t>List of locations:</t>
  </si>
  <si>
    <t>Mali (Bamako)</t>
  </si>
  <si>
    <t>Ilorin (Nigeria)</t>
  </si>
  <si>
    <t>Lagos (Nigeria)</t>
  </si>
  <si>
    <t>Mogadischu (Somalia)</t>
  </si>
  <si>
    <t>+++ Add location +++</t>
  </si>
  <si>
    <t>January</t>
  </si>
  <si>
    <t>February</t>
  </si>
  <si>
    <t>March</t>
  </si>
  <si>
    <t>April</t>
  </si>
  <si>
    <t>May</t>
  </si>
  <si>
    <t>June</t>
  </si>
  <si>
    <t>July</t>
  </si>
  <si>
    <t>August</t>
  </si>
  <si>
    <t>September</t>
  </si>
  <si>
    <t>October</t>
  </si>
  <si>
    <t>November</t>
  </si>
  <si>
    <t>December</t>
  </si>
  <si>
    <t>WORSTCASE</t>
  </si>
  <si>
    <t>Mean daily temperature [°C]:</t>
  </si>
  <si>
    <t>Solar irradiation [kWh/m² day]:</t>
  </si>
  <si>
    <r>
      <rPr>
        <b/>
        <sz val="11"/>
        <color theme="1"/>
        <rFont val="Calibri"/>
        <family val="2"/>
      </rPr>
      <t>Thermal losses</t>
    </r>
    <r>
      <rPr>
        <b/>
        <vertAlign val="subscript"/>
        <sz val="11"/>
        <color theme="1"/>
        <rFont val="Calibri"/>
        <family val="2"/>
      </rPr>
      <t xml:space="preserve"> </t>
    </r>
    <r>
      <rPr>
        <b/>
        <sz val="11"/>
        <color theme="1"/>
        <rFont val="Calibri"/>
        <family val="2"/>
      </rPr>
      <t>for each day [kWh]:</t>
    </r>
  </si>
  <si>
    <t>Thermal Energy Liquid phase [kWh]:</t>
  </si>
  <si>
    <t>Thermal Energy Change Phase [kWh]:</t>
  </si>
  <si>
    <t>Thermal Energy Ice Phase [kWh]:</t>
  </si>
  <si>
    <t xml:space="preserve">Max Power to cool down the product [kW]: </t>
  </si>
  <si>
    <t>Thermal Energy to cold down the air of the cold room once per day [kWh]:</t>
  </si>
  <si>
    <t xml:space="preserve">Daily Energy to cool down the product and air [kWh]: </t>
  </si>
  <si>
    <r>
      <rPr>
        <b/>
        <sz val="11"/>
        <color theme="1"/>
        <rFont val="Calibri"/>
        <family val="2"/>
      </rPr>
      <t>Q</t>
    </r>
    <r>
      <rPr>
        <b/>
        <vertAlign val="subscript"/>
        <sz val="11"/>
        <color theme="1"/>
        <rFont val="Calibri"/>
        <family val="2"/>
      </rPr>
      <t>total</t>
    </r>
    <r>
      <rPr>
        <b/>
        <sz val="11"/>
        <color theme="1"/>
        <rFont val="Calibri"/>
        <family val="2"/>
      </rPr>
      <t xml:space="preserve"> for each day [kW]:</t>
    </r>
  </si>
  <si>
    <t>COP without battery:</t>
  </si>
  <si>
    <t>COP :</t>
  </si>
  <si>
    <r>
      <rPr>
        <b/>
        <sz val="11"/>
        <color theme="1"/>
        <rFont val="Calibri"/>
        <family val="2"/>
      </rPr>
      <t>Energy needed</t>
    </r>
    <r>
      <rPr>
        <b/>
        <vertAlign val="subscript"/>
        <sz val="11"/>
        <color theme="1"/>
        <rFont val="Calibri"/>
        <family val="2"/>
      </rPr>
      <t xml:space="preserve"> fan+pump </t>
    </r>
    <r>
      <rPr>
        <b/>
        <sz val="11"/>
        <color theme="1"/>
        <rFont val="Calibri"/>
        <family val="2"/>
      </rPr>
      <t>[kWh</t>
    </r>
    <r>
      <rPr>
        <b/>
        <vertAlign val="subscript"/>
        <sz val="11"/>
        <color theme="1"/>
        <rFont val="Calibri"/>
        <family val="2"/>
      </rPr>
      <t>el</t>
    </r>
    <r>
      <rPr>
        <b/>
        <sz val="11"/>
        <color theme="1"/>
        <rFont val="Calibri"/>
        <family val="2"/>
      </rPr>
      <t>]:</t>
    </r>
  </si>
  <si>
    <t xml:space="preserve">Maximum values </t>
  </si>
  <si>
    <r>
      <rPr>
        <b/>
        <sz val="11"/>
        <color theme="1"/>
        <rFont val="Calibri"/>
        <family val="2"/>
      </rPr>
      <t>Engergy needed</t>
    </r>
    <r>
      <rPr>
        <b/>
        <vertAlign val="subscript"/>
        <sz val="11"/>
        <color theme="1"/>
        <rFont val="Calibri"/>
        <family val="2"/>
      </rPr>
      <t xml:space="preserve"> cooling units </t>
    </r>
    <r>
      <rPr>
        <b/>
        <sz val="11"/>
        <color theme="1"/>
        <rFont val="Calibri"/>
        <family val="2"/>
      </rPr>
      <t>[kWh</t>
    </r>
    <r>
      <rPr>
        <b/>
        <vertAlign val="subscript"/>
        <sz val="11"/>
        <color theme="1"/>
        <rFont val="Calibri"/>
        <family val="2"/>
      </rPr>
      <t>el</t>
    </r>
    <r>
      <rPr>
        <b/>
        <sz val="11"/>
        <color theme="1"/>
        <rFont val="Calibri"/>
        <family val="2"/>
      </rPr>
      <t>]:</t>
    </r>
  </si>
  <si>
    <t>rounded</t>
  </si>
  <si>
    <t>Cooling units needed (no battery):</t>
  </si>
  <si>
    <t>PV Capacity fan+pump (Wp):</t>
  </si>
  <si>
    <t>Cooling units needed (with battery):</t>
  </si>
  <si>
    <t>PV Capacity cooling units (Wp):</t>
  </si>
  <si>
    <t>Product information</t>
  </si>
  <si>
    <t>Mass =</t>
  </si>
  <si>
    <t>kg or l</t>
  </si>
  <si>
    <t>MC =</t>
  </si>
  <si>
    <t>cp =</t>
  </si>
  <si>
    <t>kJ/kg K</t>
  </si>
  <si>
    <t>Calculated heat capacity of the product:</t>
  </si>
  <si>
    <t>CP due to input of the user (either calculated via MC or direct)</t>
  </si>
  <si>
    <t>t =</t>
  </si>
  <si>
    <t>h</t>
  </si>
  <si>
    <t xml:space="preserve">How many days will the product be cooled? </t>
  </si>
  <si>
    <t>Temperature information</t>
  </si>
  <si>
    <r>
      <rPr>
        <sz val="11"/>
        <color theme="1"/>
        <rFont val="Calibri"/>
        <family val="2"/>
      </rPr>
      <t>T</t>
    </r>
    <r>
      <rPr>
        <vertAlign val="subscript"/>
        <sz val="11"/>
        <color theme="1"/>
        <rFont val="Calibri"/>
        <family val="2"/>
      </rPr>
      <t>i</t>
    </r>
    <r>
      <rPr>
        <sz val="11"/>
        <color theme="1"/>
        <rFont val="Calibri"/>
        <family val="2"/>
      </rPr>
      <t xml:space="preserve"> =</t>
    </r>
  </si>
  <si>
    <r>
      <rPr>
        <sz val="11"/>
        <color theme="1"/>
        <rFont val="Calibri"/>
        <family val="2"/>
      </rPr>
      <t>T</t>
    </r>
    <r>
      <rPr>
        <vertAlign val="subscript"/>
        <sz val="11"/>
        <color theme="1"/>
        <rFont val="Calibri"/>
        <family val="2"/>
      </rPr>
      <t>m</t>
    </r>
    <r>
      <rPr>
        <sz val="11"/>
        <color theme="1"/>
        <rFont val="Calibri"/>
        <family val="2"/>
      </rPr>
      <t xml:space="preserve"> =</t>
    </r>
  </si>
  <si>
    <t>Maximum Temperature within the year:</t>
  </si>
  <si>
    <r>
      <rPr>
        <sz val="11"/>
        <color theme="1"/>
        <rFont val="Calibri"/>
        <family val="2"/>
      </rPr>
      <t>T</t>
    </r>
    <r>
      <rPr>
        <vertAlign val="subscript"/>
        <sz val="11"/>
        <color theme="1"/>
        <rFont val="Calibri"/>
        <family val="2"/>
      </rPr>
      <t>yearmax</t>
    </r>
    <r>
      <rPr>
        <sz val="11"/>
        <color theme="1"/>
        <rFont val="Calibri"/>
        <family val="2"/>
      </rPr>
      <t xml:space="preserve"> =</t>
    </r>
  </si>
  <si>
    <t>Temperature within the cooling device ( Final temp - 5°C):</t>
  </si>
  <si>
    <r>
      <rPr>
        <sz val="11"/>
        <color theme="1"/>
        <rFont val="Calibri"/>
        <family val="2"/>
      </rPr>
      <t>T</t>
    </r>
    <r>
      <rPr>
        <vertAlign val="subscript"/>
        <sz val="11"/>
        <color theme="1"/>
        <rFont val="Calibri"/>
        <family val="2"/>
      </rPr>
      <t>cold</t>
    </r>
    <r>
      <rPr>
        <sz val="11"/>
        <color theme="1"/>
        <rFont val="Calibri"/>
        <family val="2"/>
      </rPr>
      <t xml:space="preserve"> =</t>
    </r>
  </si>
  <si>
    <t>Alpha - value:</t>
  </si>
  <si>
    <t>COP worst case =</t>
  </si>
  <si>
    <t>Isolation material</t>
  </si>
  <si>
    <t>Inner length of the cold room</t>
  </si>
  <si>
    <t>Inner width of the cold room</t>
  </si>
  <si>
    <t>Inner height of the cold room</t>
  </si>
  <si>
    <t>Inner area of the cold room</t>
  </si>
  <si>
    <t>A =</t>
  </si>
  <si>
    <t>m²</t>
  </si>
  <si>
    <r>
      <rPr>
        <sz val="11"/>
        <color theme="1"/>
        <rFont val="Calibri"/>
        <family val="2"/>
      </rPr>
      <t xml:space="preserve">k /  </t>
    </r>
    <r>
      <rPr>
        <sz val="11"/>
        <color theme="1"/>
        <rFont val="Symbol"/>
        <family val="1"/>
        <charset val="2"/>
      </rPr>
      <t>l =</t>
    </r>
  </si>
  <si>
    <t>U =</t>
  </si>
  <si>
    <t>Cold Room Volume</t>
  </si>
  <si>
    <t>V=</t>
  </si>
  <si>
    <t>m3</t>
  </si>
  <si>
    <t>Batteries:</t>
  </si>
  <si>
    <t>System information</t>
  </si>
  <si>
    <t xml:space="preserve">Batteries </t>
  </si>
  <si>
    <t>Economic information</t>
  </si>
  <si>
    <t>Income</t>
  </si>
  <si>
    <t>Primary System + Secondary</t>
  </si>
  <si>
    <t>Secondary System</t>
  </si>
  <si>
    <t>Additional income per product:</t>
  </si>
  <si>
    <t>Total PV Costs:</t>
  </si>
  <si>
    <t>years</t>
  </si>
  <si>
    <t>Additional income per year:</t>
  </si>
  <si>
    <t>Lifetime PV:</t>
  </si>
  <si>
    <t>Total income :</t>
  </si>
  <si>
    <t>Total Battery costs:</t>
  </si>
  <si>
    <t>Lifetime battery:</t>
  </si>
  <si>
    <t>Total solar cooling unit costs:</t>
  </si>
  <si>
    <t>Lifetime cooling unit:</t>
  </si>
  <si>
    <t>Material &amp; construction:</t>
  </si>
  <si>
    <t>Maintenance per year:</t>
  </si>
  <si>
    <t>Economic Analysis: System with battery</t>
  </si>
  <si>
    <t xml:space="preserve">With batteries? </t>
  </si>
  <si>
    <t>Payback period:</t>
  </si>
  <si>
    <t>Cooling Curve Calculation</t>
  </si>
  <si>
    <t>Initial temperature of the product</t>
  </si>
  <si>
    <t>Ti =</t>
  </si>
  <si>
    <t>Time (h)</t>
  </si>
  <si>
    <t>Final temperature of the product</t>
  </si>
  <si>
    <t>Tm =</t>
  </si>
  <si>
    <t>Total mass to be cooled</t>
  </si>
  <si>
    <t xml:space="preserve"> Moisture content of the product</t>
  </si>
  <si>
    <t>% wet based</t>
  </si>
  <si>
    <t xml:space="preserve"> or Heat capacity of the product</t>
  </si>
  <si>
    <t>Calculated heat Capacity of the product:</t>
  </si>
  <si>
    <t>Radius</t>
  </si>
  <si>
    <t xml:space="preserve">cp value due to selection: </t>
  </si>
  <si>
    <t>Density</t>
  </si>
  <si>
    <t>Convection air - product</t>
  </si>
  <si>
    <t>Volumen Product</t>
  </si>
  <si>
    <t>m³</t>
  </si>
  <si>
    <t>Surface Product</t>
  </si>
  <si>
    <t>Time constant Tau</t>
  </si>
  <si>
    <t>s</t>
  </si>
  <si>
    <t>Product Mass</t>
  </si>
  <si>
    <t>g/unit</t>
  </si>
  <si>
    <t xml:space="preserve"> </t>
  </si>
  <si>
    <t>T: Temperature Cooling medium</t>
  </si>
  <si>
    <t>Tset: Start temperature</t>
  </si>
  <si>
    <t>Titles for the diagramm</t>
  </si>
  <si>
    <t>t: Time (s)</t>
  </si>
  <si>
    <t>Cooling Load Calculation</t>
  </si>
  <si>
    <t>Area of the refrigerator</t>
  </si>
  <si>
    <t>Thermal conductivity of insulation</t>
  </si>
  <si>
    <t>k /  l =</t>
  </si>
  <si>
    <t>Thickness of insulation</t>
  </si>
  <si>
    <t>Ice storage inside the cold room?</t>
  </si>
  <si>
    <t>U</t>
  </si>
  <si>
    <t>W/m²</t>
  </si>
  <si>
    <t>kJ/kg</t>
  </si>
  <si>
    <t>T product  (°C)</t>
  </si>
  <si>
    <t>T Ambient (°C)</t>
  </si>
  <si>
    <t>Q Product (kW)</t>
  </si>
  <si>
    <t>Q transmission (losses through insulation) (kW)</t>
  </si>
  <si>
    <t>Selected language:</t>
  </si>
  <si>
    <t>Number:</t>
  </si>
  <si>
    <t>Appearence in the tool</t>
  </si>
  <si>
    <t>Français</t>
  </si>
  <si>
    <t>Español</t>
  </si>
  <si>
    <t>Deutsch</t>
  </si>
  <si>
    <t>Read me</t>
  </si>
  <si>
    <t>Design Tool Box for solar powered Cold Rooms</t>
  </si>
  <si>
    <t>Outil de conception: Refroidisseur solaire d'eau pour chambres froides</t>
  </si>
  <si>
    <t xml:space="preserve">Read Me Sheet </t>
  </si>
  <si>
    <t>Lisez-moi</t>
  </si>
  <si>
    <t>Introduction</t>
  </si>
  <si>
    <t xml:space="preserve">This tool calculates the required power of a water chiller for cold rooms to cool different products from a given to a desired temperature and gives an economic analysis. Examplary data is filled and and can be modified by own data. </t>
  </si>
  <si>
    <t>Cet outil calcule la puissance requise d'un refroidisseur d'eau pour chambres froides de bricolage pour refroidir différents produits d'une température donnée à une température souhaitée et fournit une analyse économique. Des données d'exemple sont remplies et peuvent être modifiées par vos propres données.</t>
  </si>
  <si>
    <t>Tips &amp; Tricks</t>
  </si>
  <si>
    <t>Conseils et astuces</t>
  </si>
  <si>
    <t xml:space="preserve">● Enter values into white (non-coloured) cells only!
● None entry cells (coloured cells) are protected. Unprotect first if changes are necessary
</t>
  </si>
  <si>
    <t xml:space="preserve">● Saisissez des valeurs uniquement dans les cellules blanches (non colorées)!
● Les cellules qui ne doivent pas être remplies(cellules de couleur) sont protégées. </t>
  </si>
  <si>
    <t>Overview of the following sheets</t>
  </si>
  <si>
    <t>Aperçu des feuilles</t>
  </si>
  <si>
    <t>1. Geographic Data</t>
  </si>
  <si>
    <t>2. Input</t>
  </si>
  <si>
    <t>3. Cooling Curve</t>
  </si>
  <si>
    <t>4. Output</t>
  </si>
  <si>
    <t>5. Weather Data</t>
  </si>
  <si>
    <t>Calculation Sheet (Hidden)</t>
  </si>
  <si>
    <t>Feuille de calcul (caché)</t>
  </si>
  <si>
    <t>Translation sheet (Hidden)</t>
  </si>
  <si>
    <t>Feuille de traduction (caché)</t>
  </si>
  <si>
    <t xml:space="preserve">For selecting basic site information: ambient temperatures or solar radiation. </t>
  </si>
  <si>
    <t>Pour choisir des informations de base sur le site: températures ambiantes ou rayonnement solaire.</t>
  </si>
  <si>
    <t>Selection de datos climaticos: Temperatura ambiente y radiación solar</t>
  </si>
  <si>
    <t>For adding data about the product to be cooled under given conditions</t>
  </si>
  <si>
    <t>Pour ajouter des données sur le produit à refroidir dans des conditions données</t>
  </si>
  <si>
    <t>Visualization of the Cooling Curve and Cooling Load profile</t>
  </si>
  <si>
    <t>Visualisation de la courbe de refroidissement et du profil de charge de refroidissement</t>
  </si>
  <si>
    <t>For an overview of the results</t>
  </si>
  <si>
    <t>Pour un aperçu des résultats</t>
  </si>
  <si>
    <t>To add weather data for a specific location</t>
  </si>
  <si>
    <t>Pour ajouter des données météorologiques pour un endroit spécifique</t>
  </si>
  <si>
    <t>Para añadir datos meteorológicos para una ubicación específica</t>
  </si>
  <si>
    <t>All calculations are done within this sheet</t>
  </si>
  <si>
    <t>Tous les calculs sont effectués dans cette feuille</t>
  </si>
  <si>
    <t>Contains the translation into several languages</t>
  </si>
  <si>
    <t>Contient la traduction en plusieurs langues</t>
  </si>
  <si>
    <t>Additional information</t>
  </si>
  <si>
    <t>Informatios supplémentaires</t>
  </si>
  <si>
    <t>This tool was created by Solar Cooling Engineering</t>
  </si>
  <si>
    <t>Cet outil a été créé par le groupe de Solar Cooling Engineering</t>
  </si>
  <si>
    <t>In cooperation with</t>
  </si>
  <si>
    <t>En coopération avec</t>
  </si>
  <si>
    <t>1 Geographic Data</t>
  </si>
  <si>
    <t>1. Données géographiques</t>
  </si>
  <si>
    <t>Temperature quotidienne moyenne [°C]</t>
  </si>
  <si>
    <t>Irradiation solaire [kWh/m² jour]</t>
  </si>
  <si>
    <t>Janvier</t>
  </si>
  <si>
    <t>Février</t>
  </si>
  <si>
    <t xml:space="preserve">Mars </t>
  </si>
  <si>
    <t>Avril</t>
  </si>
  <si>
    <t>Mai</t>
  </si>
  <si>
    <t>Juin</t>
  </si>
  <si>
    <t>Juillet</t>
  </si>
  <si>
    <t>Août</t>
  </si>
  <si>
    <t>Septembre</t>
  </si>
  <si>
    <t xml:space="preserve">Octobre </t>
  </si>
  <si>
    <t>Novembre</t>
  </si>
  <si>
    <t>Décembre</t>
  </si>
  <si>
    <t>Locations can be added on the sheet "Weather Data"</t>
  </si>
  <si>
    <t>Des localisations peuvent être ajoutées sur la feuille "Weather Data"</t>
  </si>
  <si>
    <t>Las ubicaciones pueden ser añadidas en la hoja "Weather Data".</t>
  </si>
  <si>
    <t>Choose location:</t>
  </si>
  <si>
    <t>Selectionner localisation:</t>
  </si>
  <si>
    <t>Selectionar ubicación:</t>
  </si>
  <si>
    <t>Use to obtain indicative monthly irradiation and temperature data for the site:</t>
  </si>
  <si>
    <t>À utiliser pour obtenir des données indicatives mensuelles sur l’irradiation et la température du site:</t>
  </si>
  <si>
    <t>2 Input</t>
  </si>
  <si>
    <t>Input of parameters</t>
  </si>
  <si>
    <t>Entrée de paramètres</t>
  </si>
  <si>
    <t>Information du produit</t>
  </si>
  <si>
    <t>Data</t>
  </si>
  <si>
    <t>Données</t>
  </si>
  <si>
    <t>Masse totale à refroidir</t>
  </si>
  <si>
    <t>Teneur en humidité du produit</t>
  </si>
  <si>
    <t>ou capacité thermique du produit</t>
  </si>
  <si>
    <t>Masse =</t>
  </si>
  <si>
    <t>kg ou l</t>
  </si>
  <si>
    <t>% à base humide</t>
  </si>
  <si>
    <t>Rayon</t>
  </si>
  <si>
    <t xml:space="preserve">Densité </t>
  </si>
  <si>
    <t>Convection air - produit</t>
  </si>
  <si>
    <t>Conduction coefficient of the product</t>
  </si>
  <si>
    <t>Coefficient de conduction du porduit</t>
  </si>
  <si>
    <t>Information des températures</t>
  </si>
  <si>
    <t>Température initiale du produit</t>
  </si>
  <si>
    <t>Température finale du produit</t>
  </si>
  <si>
    <t>Time to cool down the product</t>
  </si>
  <si>
    <t>Temps pour refroidir le produit</t>
  </si>
  <si>
    <t>How often do you cool down the product</t>
  </si>
  <si>
    <t>À quelle fréquence refroidissez-vous le produit?</t>
  </si>
  <si>
    <t>per month</t>
  </si>
  <si>
    <t>par mois</t>
  </si>
  <si>
    <t>Informations du système</t>
  </si>
  <si>
    <t>Batteries</t>
  </si>
  <si>
    <t>Autonomy of the system</t>
  </si>
  <si>
    <t>Autonomie du système</t>
  </si>
  <si>
    <t>Pertes du système</t>
  </si>
  <si>
    <t>Panneau solaires</t>
  </si>
  <si>
    <t>Contrôleur de charge</t>
  </si>
  <si>
    <t>Unité de control</t>
  </si>
  <si>
    <t>Compressor</t>
  </si>
  <si>
    <t>Compressseur</t>
  </si>
  <si>
    <t>Ice storage</t>
  </si>
  <si>
    <t>Stockage de glace</t>
  </si>
  <si>
    <t>Water bath</t>
  </si>
  <si>
    <t>Bain d'eau</t>
  </si>
  <si>
    <t>Ice on evaporator surface</t>
  </si>
  <si>
    <t>Glace surface de l'évaporateur</t>
  </si>
  <si>
    <t>DC pump</t>
  </si>
  <si>
    <t>Pompe CC</t>
  </si>
  <si>
    <t>Fan coil unit</t>
  </si>
  <si>
    <t>Ventilo-convecteur</t>
  </si>
  <si>
    <t>Cold room</t>
  </si>
  <si>
    <t>Chambre froide</t>
  </si>
  <si>
    <t>Cooled product</t>
  </si>
  <si>
    <t>Produit refroidi</t>
  </si>
  <si>
    <t>Oui</t>
  </si>
  <si>
    <t>Non</t>
  </si>
  <si>
    <t>Cold Room</t>
  </si>
  <si>
    <t>Longueur intérieur de la chambre froide</t>
  </si>
  <si>
    <t>Largeur intérieur de la chambre froide</t>
  </si>
  <si>
    <t>Hauteur intérieur de la chambre froide</t>
  </si>
  <si>
    <t>Area of the cold room</t>
  </si>
  <si>
    <t>Surface du réfrigérateur</t>
  </si>
  <si>
    <t>Conductivité thermique de l'isolation</t>
  </si>
  <si>
    <t>Épaisseur de l'isolation</t>
  </si>
  <si>
    <t>Stockage de glace dans la chambre froide?</t>
  </si>
  <si>
    <t>Informations économiques</t>
  </si>
  <si>
    <t>Currency used for calculation</t>
  </si>
  <si>
    <t>Devise utilisée pour le calcul</t>
  </si>
  <si>
    <t>Specific cost of PV</t>
  </si>
  <si>
    <t>Coût spécifique du PV</t>
  </si>
  <si>
    <t>PV lifetime</t>
  </si>
  <si>
    <t>PV durée de vie</t>
  </si>
  <si>
    <t xml:space="preserve">Specif cost of battery  </t>
  </si>
  <si>
    <t>Coût spécifique de la batterie</t>
  </si>
  <si>
    <t>Battery lifetime</t>
  </si>
  <si>
    <t>Durée de vie de la batterie</t>
  </si>
  <si>
    <t>Cost of solar cooling unit</t>
  </si>
  <si>
    <t>Coût de l'unité de refroidissement solaire</t>
  </si>
  <si>
    <t>Solar cooling unit lifetime</t>
  </si>
  <si>
    <t>Durée de vie de l'unité de refroidissement solaire</t>
  </si>
  <si>
    <t>Costs of aditional materials (cold cell, waterchiller box, pipes, water pump)</t>
  </si>
  <si>
    <t>Coûts de matériel et de construction pour la glacière</t>
  </si>
  <si>
    <t>Maintenance costs per year</t>
  </si>
  <si>
    <t>Coûts de maintenance par an</t>
  </si>
  <si>
    <t>années</t>
  </si>
  <si>
    <t>Additional income per product unit</t>
  </si>
  <si>
    <t>Revenu supplémentaire par unité de produit</t>
  </si>
  <si>
    <t>Additional income per month</t>
  </si>
  <si>
    <t>Revenu supplémentaire par mois</t>
  </si>
  <si>
    <t>Discount rate</t>
  </si>
  <si>
    <t>Taux de remise</t>
  </si>
  <si>
    <t xml:space="preserve">Inflation  </t>
  </si>
  <si>
    <t>Inflation</t>
  </si>
  <si>
    <t>3 Cooling Curve</t>
  </si>
  <si>
    <t>Courbe de refroidissement</t>
  </si>
  <si>
    <t>Temperature in °C</t>
  </si>
  <si>
    <t>Température en °C</t>
  </si>
  <si>
    <t>Time in h</t>
  </si>
  <si>
    <t>Temps en h</t>
  </si>
  <si>
    <t>Temperature of the product</t>
  </si>
  <si>
    <t>Température du produit</t>
  </si>
  <si>
    <t>Charge de refroidissement accumulée en kWh</t>
  </si>
  <si>
    <t>Cooling load</t>
  </si>
  <si>
    <t>Charge de refroidissement</t>
  </si>
  <si>
    <t>Thermal losses cold month in kWh</t>
  </si>
  <si>
    <t>Pertes thermiques mois froid en kWh</t>
  </si>
  <si>
    <t>Thermal losses hot month in kWh</t>
  </si>
  <si>
    <t>Pertes thermiques mois chaud en kWh</t>
  </si>
  <si>
    <t>Courbe de refroidissement et charge de refroidissement</t>
  </si>
  <si>
    <t>4 Output</t>
  </si>
  <si>
    <t>Results</t>
  </si>
  <si>
    <t>Résultats</t>
  </si>
  <si>
    <t>Conception du système sans batteries</t>
  </si>
  <si>
    <t>Cooling units needed:</t>
  </si>
  <si>
    <t>Unités de refroidissement nécessaires:</t>
  </si>
  <si>
    <t>Cooling units costs:</t>
  </si>
  <si>
    <t>Coûts des unités de refroidissement:</t>
  </si>
  <si>
    <t>Solar PV size:</t>
  </si>
  <si>
    <t>Taille PV solaire:</t>
  </si>
  <si>
    <t>Solar PV costs:</t>
  </si>
  <si>
    <t>Coûts PV solaire:</t>
  </si>
  <si>
    <t>Battery size:</t>
  </si>
  <si>
    <t>Taille des batteries:</t>
  </si>
  <si>
    <t>Battery costs:</t>
  </si>
  <si>
    <t>Coûts des batteries:</t>
  </si>
  <si>
    <t>Total initial investment:</t>
  </si>
  <si>
    <t>Investissement initial total:</t>
  </si>
  <si>
    <t>Période de récupération:</t>
  </si>
  <si>
    <t>Net present value:</t>
  </si>
  <si>
    <t>Valeur actuelle nette:</t>
  </si>
  <si>
    <t>Internal rate of return:</t>
  </si>
  <si>
    <t>Taux de rendement interne:</t>
  </si>
  <si>
    <t>Conception du système avec batteries</t>
  </si>
  <si>
    <t>Accumulated income &amp; system costs over 20 years</t>
  </si>
  <si>
    <t xml:space="preserve">Revenu accumulé et coûts du système sur 20 ans </t>
  </si>
  <si>
    <t>Years</t>
  </si>
  <si>
    <t>Années</t>
  </si>
  <si>
    <t>Accumulated income</t>
  </si>
  <si>
    <t>Revenu accumulé</t>
  </si>
  <si>
    <t>Accumulated system costs without batteries</t>
  </si>
  <si>
    <t>Coûts accumulé du système sans batteries</t>
  </si>
  <si>
    <t>Accumulated system costs</t>
  </si>
  <si>
    <t>Coûts accumulé du système avec batteries</t>
  </si>
  <si>
    <t>Watts</t>
  </si>
  <si>
    <t>COP (worst case month)</t>
  </si>
  <si>
    <t>PV System  Losses</t>
  </si>
  <si>
    <t>Refrigeration System</t>
  </si>
  <si>
    <t>Power Rating</t>
  </si>
  <si>
    <t>Solar PV Array</t>
  </si>
  <si>
    <t>Units</t>
  </si>
  <si>
    <t>Solar irradiation [kWh/m² monthly]:</t>
  </si>
  <si>
    <t>kWp</t>
  </si>
  <si>
    <t>kWh</t>
  </si>
  <si>
    <t xml:space="preserve">Cooling Units </t>
  </si>
  <si>
    <t>Cooling Unit</t>
  </si>
  <si>
    <t xml:space="preserve">Accra,Ghana </t>
  </si>
  <si>
    <t>Tamale, Ghana</t>
  </si>
  <si>
    <t>General details</t>
  </si>
  <si>
    <t>Unit lifetime</t>
  </si>
  <si>
    <t>yrs</t>
  </si>
  <si>
    <t>Construction details</t>
  </si>
  <si>
    <t>Ecoboards type</t>
  </si>
  <si>
    <t>Plastic</t>
  </si>
  <si>
    <t>Ecoboards thickness</t>
  </si>
  <si>
    <t>mm</t>
  </si>
  <si>
    <t>Total Net GHG emissions:</t>
  </si>
  <si>
    <t>kgCO2e</t>
  </si>
  <si>
    <t>Ecoboards height</t>
  </si>
  <si>
    <t>Ecoboards length</t>
  </si>
  <si>
    <t>Ecoboards number</t>
  </si>
  <si>
    <t>Cooling system</t>
  </si>
  <si>
    <t>Foundation type</t>
  </si>
  <si>
    <t>No cement</t>
  </si>
  <si>
    <t>Mass of units</t>
  </si>
  <si>
    <t>kg</t>
  </si>
  <si>
    <t>Battery type</t>
  </si>
  <si>
    <t>Li-Ion LFP</t>
  </si>
  <si>
    <t>Foundation depth</t>
  </si>
  <si>
    <t>Number of units</t>
  </si>
  <si>
    <t>Battery voltage</t>
  </si>
  <si>
    <t>V</t>
  </si>
  <si>
    <t>Foundation height</t>
  </si>
  <si>
    <t>Battery capacity</t>
  </si>
  <si>
    <t>Ah</t>
  </si>
  <si>
    <t>Foundation length</t>
  </si>
  <si>
    <t>Refrigerant</t>
  </si>
  <si>
    <t>600a</t>
  </si>
  <si>
    <t>Number of batteries</t>
  </si>
  <si>
    <t>Foundation width</t>
  </si>
  <si>
    <t>Battery lifetime (max)</t>
  </si>
  <si>
    <t>Foundations number</t>
  </si>
  <si>
    <t>Power consumption</t>
  </si>
  <si>
    <t>W/unit</t>
  </si>
  <si>
    <t>Battery useful</t>
  </si>
  <si>
    <t>Wh</t>
  </si>
  <si>
    <t>Straw</t>
  </si>
  <si>
    <t>Steel length (m)</t>
  </si>
  <si>
    <t>W total</t>
  </si>
  <si>
    <t>Timber</t>
  </si>
  <si>
    <t>Timber structure length</t>
  </si>
  <si>
    <t>PV panel type</t>
  </si>
  <si>
    <t>Futurasun FU-400 Silk</t>
  </si>
  <si>
    <t>Bamboo</t>
  </si>
  <si>
    <t>Timber cross-section</t>
  </si>
  <si>
    <r>
      <t>m</t>
    </r>
    <r>
      <rPr>
        <vertAlign val="superscript"/>
        <sz val="11"/>
        <color theme="1"/>
        <rFont val="Calibri"/>
        <family val="2"/>
        <scheme val="minor"/>
      </rPr>
      <t>2</t>
    </r>
  </si>
  <si>
    <t>PV panel height</t>
  </si>
  <si>
    <t>Ecoboards</t>
  </si>
  <si>
    <t>Timber wastage</t>
  </si>
  <si>
    <t>PV panel width</t>
  </si>
  <si>
    <t>Timber board</t>
  </si>
  <si>
    <t>Timber cutting method</t>
  </si>
  <si>
    <t>Hand sawn</t>
  </si>
  <si>
    <t>Secondary system</t>
  </si>
  <si>
    <t>Number of panels</t>
  </si>
  <si>
    <t>Charcoal</t>
  </si>
  <si>
    <t>PV panel lifetime</t>
  </si>
  <si>
    <t>Vapour barrier type</t>
  </si>
  <si>
    <t>LDPE</t>
  </si>
  <si>
    <t>Power requirement</t>
  </si>
  <si>
    <t>W</t>
  </si>
  <si>
    <t>Panel total power</t>
  </si>
  <si>
    <t>Vapour barrier area</t>
  </si>
  <si>
    <t>Vapour barrier thickness</t>
  </si>
  <si>
    <t>microns</t>
  </si>
  <si>
    <t>Insulation</t>
  </si>
  <si>
    <t>Water tank</t>
  </si>
  <si>
    <t>Bamboo area</t>
  </si>
  <si>
    <t>Separation distance</t>
  </si>
  <si>
    <t>Insulation type</t>
  </si>
  <si>
    <t>Water tank volume</t>
  </si>
  <si>
    <t>litres</t>
  </si>
  <si>
    <t>Stick diameter</t>
  </si>
  <si>
    <t>Insulation thickness</t>
  </si>
  <si>
    <t>Water tank material</t>
  </si>
  <si>
    <t>PE</t>
  </si>
  <si>
    <t>GHG emitted:</t>
  </si>
  <si>
    <t>Consumption:</t>
  </si>
  <si>
    <t>Storage:</t>
  </si>
  <si>
    <t>Generation:</t>
  </si>
  <si>
    <t>Number panels</t>
  </si>
  <si>
    <t>Water tank height</t>
  </si>
  <si>
    <r>
      <t>W</t>
    </r>
    <r>
      <rPr>
        <vertAlign val="subscript"/>
        <sz val="11"/>
        <color theme="1"/>
        <rFont val="Calibri"/>
        <family val="2"/>
        <scheme val="minor"/>
      </rPr>
      <t>p</t>
    </r>
  </si>
  <si>
    <t>Door</t>
  </si>
  <si>
    <t>Transport</t>
  </si>
  <si>
    <t>Offsetting of emissions</t>
  </si>
  <si>
    <t>Mass</t>
  </si>
  <si>
    <t>Method</t>
  </si>
  <si>
    <t>(km)</t>
  </si>
  <si>
    <t>Method 2</t>
  </si>
  <si>
    <t>Method 3</t>
  </si>
  <si>
    <t>Include a door?</t>
  </si>
  <si>
    <t>(kg)</t>
  </si>
  <si>
    <t>Road (Africa)</t>
  </si>
  <si>
    <t>None</t>
  </si>
  <si>
    <t>PV Panels offset level</t>
  </si>
  <si>
    <t>% of emissions</t>
  </si>
  <si>
    <t>Door height</t>
  </si>
  <si>
    <t>Cement</t>
  </si>
  <si>
    <t>PV Panels offset</t>
  </si>
  <si>
    <t>Door width</t>
  </si>
  <si>
    <t>Door leaf material</t>
  </si>
  <si>
    <t>Steel</t>
  </si>
  <si>
    <t>Road (EU)</t>
  </si>
  <si>
    <t>Sea</t>
  </si>
  <si>
    <t>Door insulation</t>
  </si>
  <si>
    <t>EPS</t>
  </si>
  <si>
    <t>Door thickness</t>
  </si>
  <si>
    <t>Cooling units</t>
  </si>
  <si>
    <t>PV panels</t>
  </si>
  <si>
    <t>Charcoal cooler and tank</t>
  </si>
  <si>
    <t>Include?</t>
  </si>
  <si>
    <t>Other items (add)</t>
  </si>
  <si>
    <t>Internal timber boards</t>
  </si>
  <si>
    <t>Number of boards</t>
  </si>
  <si>
    <t>Greenhouse gas emissions</t>
  </si>
  <si>
    <t>Land use</t>
  </si>
  <si>
    <t>Water use</t>
  </si>
  <si>
    <t>Human toxicitiy</t>
  </si>
  <si>
    <t>Biogenic</t>
  </si>
  <si>
    <t>Technical</t>
  </si>
  <si>
    <t>Fabric</t>
  </si>
  <si>
    <t>Calcs:</t>
  </si>
  <si>
    <t>kg/m3</t>
  </si>
  <si>
    <t>Conventional</t>
  </si>
  <si>
    <t>Cubic metres (foundations)</t>
  </si>
  <si>
    <t>Cubic metres (timber)</t>
  </si>
  <si>
    <t>Panel area</t>
  </si>
  <si>
    <t>m2</t>
  </si>
  <si>
    <t>Energy consumption per day</t>
  </si>
  <si>
    <t>DOD available</t>
  </si>
  <si>
    <t>Solar PV</t>
  </si>
  <si>
    <t>Energy available</t>
  </si>
  <si>
    <t>Cycles per day</t>
  </si>
  <si>
    <t>RESULTS</t>
  </si>
  <si>
    <t>PV</t>
  </si>
  <si>
    <t>Foundations</t>
  </si>
  <si>
    <t>Timber structure</t>
  </si>
  <si>
    <t>Vapour barrier</t>
  </si>
  <si>
    <t>Insulated panels</t>
  </si>
  <si>
    <t>Rainwater tank</t>
  </si>
  <si>
    <t>Timber boards</t>
  </si>
  <si>
    <t>Charcoal cooler</t>
  </si>
  <si>
    <t>Biogenic storage</t>
  </si>
  <si>
    <t>Offset</t>
  </si>
  <si>
    <t>acidification: terrestrial - terrestrial acidification potential (TAP)</t>
  </si>
  <si>
    <t>climate change - global warming potential (GWP100)</t>
  </si>
  <si>
    <t>ecotoxicity: freshwater - freshwater ecotoxicity potential (FETP)</t>
  </si>
  <si>
    <t>ecotoxicity: marine - marine ecotoxicity potential (METP)</t>
  </si>
  <si>
    <t>ecotoxicity: terrestrial - terrestrial ecotoxicity potential (TETP)</t>
  </si>
  <si>
    <t>energy resources: non-renewable, fossil - fossil fuel potential (FFP)</t>
  </si>
  <si>
    <t>eutrophication: freshwater - freshwater eutrophication potential (FEP)</t>
  </si>
  <si>
    <t>eutrophication: marine - marine eutrophication potential (MEP)</t>
  </si>
  <si>
    <t>human toxicity: carcinogenic - human toxicity potential (HTPc)</t>
  </si>
  <si>
    <t>human toxicity: non-carcinogenic - human toxicity potential (HTPnc)</t>
  </si>
  <si>
    <t>ionising radiation - ionising radiation potential (IRP)</t>
  </si>
  <si>
    <t>land use - agricultural land occupation (LOP)</t>
  </si>
  <si>
    <t>material resources: metals/minerals - surplus ore potential (SOP)</t>
  </si>
  <si>
    <t>ozone depletion - ozone depletion potential (ODPinfinite)</t>
  </si>
  <si>
    <t>particulate matter formation - particulate matter formation potential (PMFP)</t>
  </si>
  <si>
    <t>photochemical oxidant formation: human health - photochemical oxidant formation potential: humans (HOFP)</t>
  </si>
  <si>
    <t>photochemical oxidant formation: terrestrial ecosystems - photochemical oxidant formation potential: ecosystems (EOFP)</t>
  </si>
  <si>
    <t>water use - water consumption potential (WCP)</t>
  </si>
  <si>
    <t>biogenic co2e</t>
  </si>
  <si>
    <t>Charcoal cooler &amp; tank</t>
  </si>
  <si>
    <t>Climate change</t>
  </si>
  <si>
    <t>Freshwater ecotoxicity</t>
  </si>
  <si>
    <t>Terrestrial ecotoxicity</t>
  </si>
  <si>
    <t>Human carcinogenic toxicity</t>
  </si>
  <si>
    <t>kgCO2e/kg.km</t>
  </si>
  <si>
    <t>Air</t>
  </si>
  <si>
    <t>Rail (EU)</t>
  </si>
  <si>
    <t>Rail (Africa)</t>
  </si>
  <si>
    <t>Rail emissions higher in EU than in Africa?</t>
  </si>
  <si>
    <t>6580 km</t>
  </si>
  <si>
    <t>by air from Hamburg to Nairobi</t>
  </si>
  <si>
    <t>11600km</t>
  </si>
  <si>
    <t>by sea from Rotterdam to Mombassa</t>
  </si>
  <si>
    <t>341km</t>
  </si>
  <si>
    <t>by road from Nairbobi to Kisumu</t>
  </si>
  <si>
    <t>827km</t>
  </si>
  <si>
    <t>by road from Mombasa (port) to Kisumu</t>
  </si>
  <si>
    <t>770km</t>
  </si>
  <si>
    <t>by road from Memmingen to Hamburg</t>
  </si>
  <si>
    <t>740km</t>
  </si>
  <si>
    <t>by road from Memmingen to Rotterdam</t>
  </si>
  <si>
    <t>Name</t>
  </si>
  <si>
    <t>Category</t>
  </si>
  <si>
    <t>Inventory result</t>
  </si>
  <si>
    <t>Unit</t>
  </si>
  <si>
    <t>Impact factor</t>
  </si>
  <si>
    <t>Impact result</t>
  </si>
  <si>
    <t>kg SO2-Eq</t>
  </si>
  <si>
    <t>kg CO2-Eq</t>
  </si>
  <si>
    <t>kg 1,4-DCB-Eq</t>
  </si>
  <si>
    <t>kg oil-Eq</t>
  </si>
  <si>
    <t>kg P-Eq</t>
  </si>
  <si>
    <t>kg N-Eq</t>
  </si>
  <si>
    <t>kBq Co-60-Eq</t>
  </si>
  <si>
    <t>m2*a crop-Eq</t>
  </si>
  <si>
    <t>kg Cu-Eq</t>
  </si>
  <si>
    <t>kg CFC-11-Eq</t>
  </si>
  <si>
    <t>kg PM2.5-Eq</t>
  </si>
  <si>
    <t>kg NOx-Eq</t>
  </si>
  <si>
    <t>Steel door with 45mm cardboard insulation</t>
  </si>
  <si>
    <t>Paper insulation 45mm</t>
  </si>
  <si>
    <t>Steel door without insulation (2020 x 845)</t>
  </si>
  <si>
    <t>Straw 2400 x 2400 x 1mm</t>
  </si>
  <si>
    <t>EPS 2400x2400x1mm</t>
  </si>
  <si>
    <t>Straw at size in Main</t>
  </si>
  <si>
    <t>Paper at size in Main</t>
  </si>
  <si>
    <t>Steel leaf at size in Main</t>
  </si>
  <si>
    <t>Plastic ecoboard at size in Main</t>
  </si>
  <si>
    <t>Timber ecoboard at size in Main</t>
  </si>
  <si>
    <t>Paper/card</t>
  </si>
  <si>
    <t>Ecoboard (plastic)</t>
  </si>
  <si>
    <t>Ecoboard (timber)</t>
  </si>
  <si>
    <t>Final leaf</t>
  </si>
  <si>
    <t>COULD DO WITH SOME MANIUFACTURING BEING ADDED!</t>
  </si>
  <si>
    <t>Final insulation</t>
  </si>
  <si>
    <t>Leaf m2</t>
  </si>
  <si>
    <t>Leaf m3</t>
  </si>
  <si>
    <t>Leaf mass</t>
  </si>
  <si>
    <t>kg per side</t>
  </si>
  <si>
    <t>kg total</t>
  </si>
  <si>
    <t>Ins m3</t>
  </si>
  <si>
    <t>Ins mass</t>
  </si>
  <si>
    <t>Total mass</t>
  </si>
  <si>
    <t>Tank volume</t>
  </si>
  <si>
    <t>Per kg polymer</t>
  </si>
  <si>
    <t>PVC</t>
  </si>
  <si>
    <t>PP</t>
  </si>
  <si>
    <t>Height</t>
  </si>
  <si>
    <t>Base area</t>
  </si>
  <si>
    <t>Base diameter</t>
  </si>
  <si>
    <t>Material thickness</t>
  </si>
  <si>
    <t>Top</t>
  </si>
  <si>
    <t>Bottom</t>
  </si>
  <si>
    <t>Sides</t>
  </si>
  <si>
    <t>densities from https://omnexus.specialchem.com/polymer-properties/properties/density</t>
  </si>
  <si>
    <t>material</t>
  </si>
  <si>
    <t>density</t>
  </si>
  <si>
    <t>mass (kg)</t>
  </si>
  <si>
    <t>Selected:</t>
  </si>
  <si>
    <t>Diameter</t>
  </si>
  <si>
    <t>Bamboo per m linear</t>
  </si>
  <si>
    <t>Area</t>
  </si>
  <si>
    <t>Separation</t>
  </si>
  <si>
    <t>Width</t>
  </si>
  <si>
    <t>Number horiz</t>
  </si>
  <si>
    <t>Number vert</t>
  </si>
  <si>
    <t>Length vert</t>
  </si>
  <si>
    <t>Length horiz</t>
  </si>
  <si>
    <t>Total length</t>
  </si>
  <si>
    <t>Volume</t>
  </si>
  <si>
    <t>Ecoboards per kg</t>
  </si>
  <si>
    <t>Notes</t>
  </si>
  <si>
    <t>kgCO2e/m3</t>
  </si>
  <si>
    <t>(timber)</t>
  </si>
  <si>
    <t>Old Ecoboards are used to make new ecoboards</t>
  </si>
  <si>
    <t>Cradle to gate</t>
  </si>
  <si>
    <t>Num panels</t>
  </si>
  <si>
    <t>Biogenic esimate</t>
  </si>
  <si>
    <t>kg per m3</t>
  </si>
  <si>
    <t>Cradle to grave</t>
  </si>
  <si>
    <t>m3 used</t>
  </si>
  <si>
    <t>Panel vol</t>
  </si>
  <si>
    <t>total CO2e</t>
  </si>
  <si>
    <t>Total vol</t>
  </si>
  <si>
    <t>Total m3 used</t>
  </si>
  <si>
    <t>Loss for door</t>
  </si>
  <si>
    <t>Total kg used</t>
  </si>
  <si>
    <t>Addition for door</t>
  </si>
  <si>
    <t>Total CO2 emissions</t>
  </si>
  <si>
    <t>Total CO2e</t>
  </si>
  <si>
    <t>Total biogenic</t>
  </si>
  <si>
    <t>total biogenic</t>
  </si>
  <si>
    <t>Total for number usd</t>
  </si>
  <si>
    <t>SA</t>
  </si>
  <si>
    <t>Vol</t>
  </si>
  <si>
    <t>Biogenic estimate</t>
  </si>
  <si>
    <t>BATTERY SINGLE</t>
  </si>
  <si>
    <t>BATTERIES TOTAL</t>
  </si>
  <si>
    <t>PV m2</t>
  </si>
  <si>
    <t>PV SINGLE</t>
  </si>
  <si>
    <t>PV TOTAL</t>
  </si>
  <si>
    <t>PV TOTAL LIFETIME</t>
  </si>
  <si>
    <t>COOLING 10kg</t>
  </si>
  <si>
    <t>COOLING SINGLE</t>
  </si>
  <si>
    <t>COOLING TOTAL</t>
  </si>
  <si>
    <t>COOLING TOTAL LIFETIME</t>
  </si>
  <si>
    <t>LIFETIME TOTAL RESULT</t>
  </si>
  <si>
    <t>FOUNDATIONS m3</t>
  </si>
  <si>
    <t>FOUNDATIONS SINGLE</t>
  </si>
  <si>
    <t>FOUNDATIONS ALL</t>
  </si>
  <si>
    <t>TIMBER m3</t>
  </si>
  <si>
    <t>TIMBER TOTAL</t>
  </si>
  <si>
    <t>VAPOUR 1 micron 1m2</t>
  </si>
  <si>
    <t>VAPOUR SINGLE</t>
  </si>
  <si>
    <t>INSULATION SINGLE</t>
  </si>
  <si>
    <t>INSULATION TOTAL</t>
  </si>
  <si>
    <t>ECOBOARDS PER KG</t>
  </si>
  <si>
    <t>ECOBOARDS TOTAL</t>
  </si>
  <si>
    <t>TIMBER BOARDS</t>
  </si>
  <si>
    <t>TIMBER BOARDS BIOGENIC</t>
  </si>
  <si>
    <t>BAMBOO 1m</t>
  </si>
  <si>
    <t>BAMBOO TOTAL</t>
  </si>
  <si>
    <t>WATER TANK SINGLE</t>
  </si>
  <si>
    <t>WATER TANK TOTAL</t>
  </si>
  <si>
    <t>Type</t>
  </si>
  <si>
    <t>Plastic ecoboard per kg (APPROX - only includes collection of some plastic and calendering)</t>
  </si>
  <si>
    <t>thickness</t>
  </si>
  <si>
    <t>density kg/m3</t>
  </si>
  <si>
    <t>mass kg</t>
  </si>
  <si>
    <t>Biogenic per m3</t>
  </si>
  <si>
    <t>Timber cladding per 2400 1200 panel (5.76m2)</t>
  </si>
  <si>
    <t>per panel</t>
  </si>
  <si>
    <t>per m2</t>
  </si>
  <si>
    <t>Timber frame - no insulation</t>
  </si>
  <si>
    <t>Straw no frame (350mm thick)</t>
  </si>
  <si>
    <t>EPS 1m3 - which is 0.17361m thick at 2.4 x 2.4</t>
  </si>
  <si>
    <t>Straw no frame (1mm thick)</t>
  </si>
  <si>
    <t>EPS no frame 1mm thick</t>
  </si>
  <si>
    <t>10kg</t>
  </si>
  <si>
    <t>134a</t>
  </si>
  <si>
    <t>Ecoinvent CIS</t>
  </si>
  <si>
    <t>Ecoinvent multi-Si wafer</t>
  </si>
  <si>
    <t>Ecoinvent single-Si wafer</t>
  </si>
  <si>
    <t>Nominal power Wp</t>
  </si>
  <si>
    <t>Nominal voltage V</t>
  </si>
  <si>
    <t>Efficiency %</t>
  </si>
  <si>
    <t>Futurasun</t>
  </si>
  <si>
    <t>The total medium energy produced by the plant during its useful life (30 years) is equal to 4.144.785,71 kWh</t>
  </si>
  <si>
    <t>The calculation relating to electricity consumption for the production of panels and company waste was carried out considering the total m2 of panels produced and the surface area of the module, equal to 1,95 m2</t>
  </si>
  <si>
    <t>Upstream and core</t>
  </si>
  <si>
    <t>As published</t>
  </si>
  <si>
    <t>per 1kWh</t>
  </si>
  <si>
    <t>kgCO2e per lifetime</t>
  </si>
  <si>
    <t>from Lunardi</t>
  </si>
  <si>
    <t>Total generation</t>
  </si>
  <si>
    <t>kWh per panel</t>
  </si>
  <si>
    <t>kWh/m2</t>
  </si>
  <si>
    <t>kWp approx 1000 times lifetime kWh</t>
  </si>
  <si>
    <t>at 224Wp equivalent (same as previous)</t>
  </si>
  <si>
    <t>0.4kWp</t>
  </si>
  <si>
    <t>equivalent kWh per lifetime if it was a 1m2 224Wp panel</t>
  </si>
  <si>
    <t>4000 lifetime kWh</t>
  </si>
  <si>
    <t>for the functional unit of 1kWh</t>
  </si>
  <si>
    <t>kgCO2e per panel</t>
  </si>
  <si>
    <t>kgCO2e per m2</t>
  </si>
  <si>
    <t>kgCO2e per m2 at 224 equivalent</t>
  </si>
  <si>
    <t>PER BATTERY UNIT NEW</t>
  </si>
  <si>
    <t>Li-Ion NCA</t>
  </si>
  <si>
    <t>Li-Ion NMC111</t>
  </si>
  <si>
    <t>Li-Ion NMC811</t>
  </si>
  <si>
    <t>LA VRLA AGM</t>
  </si>
  <si>
    <t>LA VRLA Gel</t>
  </si>
  <si>
    <t>LA wet</t>
  </si>
  <si>
    <t>Li-Ion LFP Refurbished</t>
  </si>
  <si>
    <t>Aceleron Li-Ion LFP</t>
  </si>
  <si>
    <t>kWh per lifetime</t>
  </si>
  <si>
    <t>kWh/life</t>
  </si>
  <si>
    <t>Voltage</t>
  </si>
  <si>
    <t>Capacity</t>
  </si>
  <si>
    <t>DOD</t>
  </si>
  <si>
    <t>Lifetime in cycles (at DOD)</t>
  </si>
  <si>
    <t>cycles</t>
  </si>
  <si>
    <t>Real maximum lifetime (years)</t>
  </si>
  <si>
    <t>with cement</t>
  </si>
  <si>
    <t>add steel</t>
  </si>
  <si>
    <t>Timber per m3</t>
  </si>
  <si>
    <t>Power sawn</t>
  </si>
  <si>
    <t>LDPE per micron, calculated from 300 microns</t>
  </si>
  <si>
    <t>Other (none)</t>
  </si>
  <si>
    <t>Life Cycle Assessment calculation</t>
  </si>
  <si>
    <t>Cooling units needed</t>
  </si>
  <si>
    <t>number</t>
  </si>
  <si>
    <t>Solar PV size required</t>
  </si>
  <si>
    <t>from technical</t>
  </si>
  <si>
    <t>BATTERIES LIFETIME</t>
  </si>
  <si>
    <t>Battery capacity reqd</t>
  </si>
  <si>
    <t>Single battery as selected</t>
  </si>
  <si>
    <t>Number batteries reqd</t>
  </si>
  <si>
    <t>Batteries and PV</t>
  </si>
  <si>
    <t>Single PV as selected</t>
  </si>
  <si>
    <t>Number PV reqd</t>
  </si>
  <si>
    <t>→ 6 LCA sheet</t>
  </si>
  <si>
    <t>Cold room walls area</t>
  </si>
  <si>
    <t>(without entrance wall)</t>
  </si>
  <si>
    <t>Insulation panels number</t>
  </si>
  <si>
    <t>Insulation material</t>
  </si>
  <si>
    <t>Cold room circumference outer</t>
  </si>
  <si>
    <t>Cold room circumference inner</t>
  </si>
  <si>
    <t>Internal panels number</t>
  </si>
  <si>
    <t>fixed, don't edit</t>
  </si>
  <si>
    <t>select from list</t>
  </si>
  <si>
    <t>enter or check</t>
  </si>
  <si>
    <t>Enter or select data in green cells only:</t>
  </si>
  <si>
    <t>Cold room lifetime</t>
  </si>
  <si>
    <t>Cooling unit lifetime</t>
  </si>
  <si>
    <t>Construction</t>
  </si>
  <si>
    <t>Foundation steel length</t>
  </si>
  <si>
    <t>Other</t>
  </si>
  <si>
    <t>For each product, select one or more methods of transport used</t>
  </si>
  <si>
    <t>(select)</t>
  </si>
  <si>
    <t>Cooling</t>
  </si>
  <si>
    <t>Refrigerant used</t>
  </si>
  <si>
    <t>Mass of cooling unit</t>
  </si>
  <si>
    <t>Total emissions</t>
  </si>
  <si>
    <t>Total Emissions</t>
  </si>
  <si>
    <t>Impact category:</t>
  </si>
  <si>
    <r>
      <t>kgCO</t>
    </r>
    <r>
      <rPr>
        <vertAlign val="subscript"/>
        <sz val="9"/>
        <color rgb="FF002060"/>
        <rFont val="Calibri"/>
        <family val="2"/>
      </rPr>
      <t>2</t>
    </r>
    <r>
      <rPr>
        <sz val="9"/>
        <color rgb="FF002060"/>
        <rFont val="Calibri"/>
        <family val="2"/>
      </rPr>
      <t>e</t>
    </r>
  </si>
  <si>
    <t>Total GHG Emissions</t>
  </si>
  <si>
    <r>
      <t>kgCO</t>
    </r>
    <r>
      <rPr>
        <b/>
        <vertAlign val="subscript"/>
        <sz val="16"/>
        <rFont val="Calibri"/>
        <family val="2"/>
      </rPr>
      <t>2</t>
    </r>
    <r>
      <rPr>
        <b/>
        <sz val="16"/>
        <rFont val="Calibri"/>
        <family val="2"/>
      </rPr>
      <t>e</t>
    </r>
  </si>
  <si>
    <t>Cat</t>
  </si>
  <si>
    <r>
      <t>kg CO</t>
    </r>
    <r>
      <rPr>
        <vertAlign val="subscript"/>
        <sz val="11"/>
        <color theme="1"/>
        <rFont val="Calibri"/>
        <family val="2"/>
        <scheme val="minor"/>
      </rPr>
      <t>2</t>
    </r>
    <r>
      <rPr>
        <sz val="11"/>
        <color theme="1"/>
        <rFont val="Calibri"/>
        <family val="2"/>
        <scheme val="minor"/>
      </rPr>
      <t>e</t>
    </r>
  </si>
  <si>
    <t>Enter Values into colored cells only!</t>
  </si>
  <si>
    <t xml:space="preserve">Overview of the following sheets </t>
  </si>
  <si>
    <t>For adding data about the cold room materials</t>
  </si>
  <si>
    <t>3.LCA Input</t>
  </si>
  <si>
    <t>4.Technical Design Output</t>
  </si>
  <si>
    <t>System Configuration based on your inputs</t>
  </si>
  <si>
    <t>2.Technical Input</t>
  </si>
  <si>
    <t>Life Cycle Assesment based on your inputs</t>
  </si>
  <si>
    <t xml:space="preserve">For adding weather data of your own location </t>
  </si>
  <si>
    <t xml:space="preserve">www.solar-cooling-engineering.com  </t>
  </si>
  <si>
    <t>5.LCA Output</t>
  </si>
  <si>
    <t>6. Weather data</t>
  </si>
  <si>
    <t>Battery Capacity</t>
  </si>
  <si>
    <t>Ah (24V)</t>
  </si>
  <si>
    <t>Battery Cooling Units (Ah related to 24 V):</t>
  </si>
  <si>
    <t>Battery Fan and Pump (Ah related to 24 V):</t>
  </si>
  <si>
    <t>Design and Life Cycle Assessment (LCA) Tool for
Biogenic Solar Cold Rooms with Thermal Storage</t>
  </si>
  <si>
    <t xml:space="preserve">This tool calculates the required cooling power and carbon footprint of biogenic solar cold rooms with thermal energy storage. Calculations made are based on the quantity of product, location and desired temperature. </t>
  </si>
  <si>
    <r>
      <t>m</t>
    </r>
    <r>
      <rPr>
        <b/>
        <vertAlign val="superscript"/>
        <sz val="11"/>
        <color theme="1"/>
        <rFont val="Calibri"/>
        <family val="2"/>
      </rPr>
      <t>3</t>
    </r>
  </si>
  <si>
    <t>This tool was created by Solar Cooling Engineering and University of Sheffield</t>
  </si>
  <si>
    <t xml:space="preserve">For selecting basic weather data: ambient temperatures and solar radiation. </t>
  </si>
  <si>
    <t>Enter your own data</t>
  </si>
  <si>
    <t>© Solar Cooling Engineering GmbH, Germany - 2025</t>
  </si>
  <si>
    <r>
      <t xml:space="preserve">k /  </t>
    </r>
    <r>
      <rPr>
        <sz val="11"/>
        <color theme="0"/>
        <rFont val="Symbol"/>
        <family val="1"/>
        <charset val="2"/>
      </rPr>
      <t>l =</t>
    </r>
  </si>
  <si>
    <t>Kenya (Homa Bay)</t>
  </si>
  <si>
    <t>External planting</t>
  </si>
  <si>
    <t>Electrical power rating</t>
  </si>
  <si>
    <t>Cold room temperature set-point</t>
  </si>
  <si>
    <t>PV system losses (e.g. 25%)</t>
  </si>
  <si>
    <t>Charge controller</t>
  </si>
  <si>
    <t>Control unit</t>
  </si>
  <si>
    <t>Cooling curve</t>
  </si>
  <si>
    <t>Accumulated cooling load in kWh</t>
  </si>
  <si>
    <t>Cooling curve &amp; cooling load</t>
  </si>
  <si>
    <t>System design (Secondary system)</t>
  </si>
  <si>
    <t>System design (Primary system)</t>
  </si>
  <si>
    <t>Enter construction details below:</t>
  </si>
  <si>
    <t>Estimated lifetimes</t>
  </si>
  <si>
    <t>Select the battery and PV panel types to be used:</t>
  </si>
  <si>
    <t>(Total emissions or impact of cold room materials and manufacture)</t>
  </si>
  <si>
    <t>(Stored biogenic carbon or avoided emissions)</t>
  </si>
  <si>
    <t>(Net total emissions up to the point of operation)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</si>
</sst>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quot;K&quot;* #,##0.00_-;\-&quot;K&quot;* #,##0.00_-;_-&quot;K&quot;* &quot;-&quot;??_-;_-@_-"/>
    <numFmt numFmtId="165" formatCode="0.0"/>
    <numFmt numFmtId="166" formatCode="0.000"/>
    <numFmt numFmtId="167" formatCode="0.00000"/>
    <numFmt numFmtId="168" formatCode="_-* #,##0_-;\-* #,##0_-;_-* &quot;-&quot;??_-;_-@_-"/>
    <numFmt numFmtId="169" formatCode="0.0000"/>
  </numFmts>
  <fonts count="67">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1"/>
      <color theme="1"/>
      <name val="Calibri"/>
      <family val="2"/>
    </font>
    <font>
      <b/>
      <sz val="28"/>
      <color rgb="FF262626"/>
      <name val="Calibri"/>
      <family val="2"/>
    </font>
    <font>
      <sz val="11"/>
      <name val="Calibri"/>
      <family val="2"/>
    </font>
    <font>
      <b/>
      <sz val="11"/>
      <color theme="0"/>
      <name val="Calibri"/>
      <family val="2"/>
    </font>
    <font>
      <u/>
      <sz val="11"/>
      <color theme="10"/>
      <name val="Calibri"/>
      <family val="2"/>
    </font>
    <font>
      <u/>
      <sz val="11"/>
      <color theme="10"/>
      <name val="Calibri"/>
      <family val="2"/>
    </font>
    <font>
      <u/>
      <sz val="11"/>
      <color theme="10"/>
      <name val="Calibri"/>
      <family val="2"/>
    </font>
    <font>
      <b/>
      <sz val="16"/>
      <color theme="0"/>
      <name val="Calibri"/>
      <family val="2"/>
    </font>
    <font>
      <b/>
      <sz val="14"/>
      <color rgb="FF002060"/>
      <name val="Calibri"/>
      <family val="2"/>
    </font>
    <font>
      <sz val="14"/>
      <color rgb="FF002060"/>
      <name val="Calibri"/>
      <family val="2"/>
    </font>
    <font>
      <sz val="14"/>
      <color theme="1"/>
      <name val="Calibri"/>
      <family val="2"/>
    </font>
    <font>
      <sz val="11"/>
      <color rgb="FF002060"/>
      <name val="Calibri"/>
      <family val="2"/>
    </font>
    <font>
      <b/>
      <sz val="11"/>
      <color rgb="FF002060"/>
      <name val="Calibri"/>
      <family val="2"/>
    </font>
    <font>
      <b/>
      <sz val="11"/>
      <color rgb="FF7F7F7F"/>
      <name val="Calibri"/>
      <family val="2"/>
    </font>
    <font>
      <sz val="11"/>
      <color theme="1"/>
      <name val="Calibri"/>
      <family val="2"/>
      <scheme val="minor"/>
    </font>
    <font>
      <sz val="8"/>
      <color rgb="FF666666"/>
      <name val="Arial"/>
      <family val="2"/>
    </font>
    <font>
      <sz val="10"/>
      <color rgb="FF000000"/>
      <name val="+mn-ea"/>
    </font>
    <font>
      <vertAlign val="subscript"/>
      <sz val="11"/>
      <color theme="1"/>
      <name val="Calibri"/>
      <family val="2"/>
    </font>
    <font>
      <sz val="11"/>
      <color theme="1"/>
      <name val="Symbol"/>
      <family val="1"/>
      <charset val="2"/>
    </font>
    <font>
      <b/>
      <vertAlign val="subscript"/>
      <sz val="11"/>
      <color theme="1"/>
      <name val="Calibri"/>
      <family val="2"/>
    </font>
    <font>
      <sz val="18"/>
      <color theme="1"/>
      <name val="Calibri"/>
      <family val="2"/>
    </font>
    <font>
      <b/>
      <sz val="26"/>
      <color theme="1"/>
      <name val="Calibri"/>
      <family val="2"/>
    </font>
    <font>
      <sz val="11"/>
      <color theme="0"/>
      <name val="Calibri"/>
      <family val="2"/>
      <scheme val="minor"/>
    </font>
    <font>
      <b/>
      <sz val="16"/>
      <color theme="0"/>
      <name val="Calibri"/>
      <family val="2"/>
      <scheme val="minor"/>
    </font>
    <font>
      <b/>
      <sz val="16"/>
      <name val="Calibri"/>
      <family val="2"/>
    </font>
    <font>
      <sz val="11"/>
      <color theme="1"/>
      <name val="Calibri"/>
      <scheme val="minor"/>
    </font>
    <font>
      <sz val="11"/>
      <color rgb="FFFF0000"/>
      <name val="Calibri"/>
      <family val="2"/>
      <scheme val="minor"/>
    </font>
    <font>
      <b/>
      <sz val="11"/>
      <color theme="1"/>
      <name val="Calibri"/>
      <family val="2"/>
      <scheme val="minor"/>
    </font>
    <font>
      <b/>
      <u/>
      <sz val="14"/>
      <color theme="1"/>
      <name val="Calibri"/>
      <family val="2"/>
      <scheme val="minor"/>
    </font>
    <font>
      <sz val="11"/>
      <color theme="4" tint="0.79998168889431442"/>
      <name val="Calibri"/>
      <family val="2"/>
      <scheme val="minor"/>
    </font>
    <font>
      <vertAlign val="superscript"/>
      <sz val="11"/>
      <color theme="1"/>
      <name val="Calibri"/>
      <family val="2"/>
      <scheme val="minor"/>
    </font>
    <font>
      <b/>
      <sz val="10"/>
      <color theme="1"/>
      <name val="Calibri"/>
      <family val="2"/>
      <scheme val="minor"/>
    </font>
    <font>
      <vertAlign val="subscript"/>
      <sz val="11"/>
      <color theme="1"/>
      <name val="Calibri"/>
      <family val="2"/>
      <scheme val="minor"/>
    </font>
    <font>
      <sz val="11"/>
      <color theme="0" tint="-0.14999847407452621"/>
      <name val="Calibri"/>
      <family val="2"/>
      <scheme val="minor"/>
    </font>
    <font>
      <i/>
      <sz val="11"/>
      <color theme="1"/>
      <name val="Calibri"/>
      <family val="2"/>
      <scheme val="minor"/>
    </font>
    <font>
      <sz val="11"/>
      <name val="Calibri"/>
      <family val="2"/>
      <scheme val="minor"/>
    </font>
    <font>
      <b/>
      <sz val="14"/>
      <color theme="1"/>
      <name val="Calibri"/>
      <family val="2"/>
      <scheme val="minor"/>
    </font>
    <font>
      <sz val="12"/>
      <color theme="1"/>
      <name val="Calibri"/>
      <family val="2"/>
      <scheme val="minor"/>
    </font>
    <font>
      <sz val="11"/>
      <color rgb="FFFF0000"/>
      <name val="Calibri"/>
      <family val="2"/>
    </font>
    <font>
      <sz val="9"/>
      <color rgb="FF002060"/>
      <name val="Calibri"/>
      <family val="2"/>
    </font>
    <font>
      <b/>
      <sz val="11"/>
      <color theme="0" tint="-0.499984740745262"/>
      <name val="Calibri"/>
      <family val="2"/>
    </font>
    <font>
      <sz val="11"/>
      <color theme="4" tint="-0.499984740745262"/>
      <name val="Calibri"/>
      <family val="2"/>
    </font>
    <font>
      <sz val="11"/>
      <color rgb="FF002060"/>
      <name val="Calibri"/>
      <family val="2"/>
      <scheme val="minor"/>
    </font>
    <font>
      <i/>
      <sz val="11"/>
      <name val="Calibri"/>
      <family val="2"/>
    </font>
    <font>
      <vertAlign val="subscript"/>
      <sz val="9"/>
      <color rgb="FF002060"/>
      <name val="Calibri"/>
      <family val="2"/>
    </font>
    <font>
      <b/>
      <sz val="16"/>
      <color theme="1"/>
      <name val="Calibri"/>
      <family val="2"/>
    </font>
    <font>
      <b/>
      <vertAlign val="subscript"/>
      <sz val="16"/>
      <name val="Calibri"/>
      <family val="2"/>
    </font>
    <font>
      <b/>
      <sz val="16"/>
      <name val="Calibri"/>
      <family val="2"/>
      <scheme val="minor"/>
    </font>
    <font>
      <sz val="11"/>
      <color theme="0"/>
      <name val="Calibri"/>
      <family val="2"/>
    </font>
    <font>
      <u/>
      <sz val="11"/>
      <color theme="10"/>
      <name val="Calibri"/>
      <scheme val="minor"/>
    </font>
    <font>
      <b/>
      <sz val="11"/>
      <name val="Calibri"/>
      <family val="2"/>
    </font>
    <font>
      <sz val="11"/>
      <color theme="10"/>
      <name val="Calibri"/>
      <family val="2"/>
    </font>
    <font>
      <sz val="10"/>
      <color rgb="FF002060"/>
      <name val="Calibri"/>
      <family val="2"/>
    </font>
    <font>
      <b/>
      <vertAlign val="superscript"/>
      <sz val="11"/>
      <color theme="1"/>
      <name val="Calibri"/>
      <family val="2"/>
    </font>
    <font>
      <b/>
      <sz val="16"/>
      <color rgb="FF002060"/>
      <name val="Calibri"/>
      <family val="2"/>
    </font>
    <font>
      <sz val="16"/>
      <name val="Calibri"/>
      <family val="2"/>
    </font>
    <font>
      <sz val="16"/>
      <color rgb="FF002060"/>
      <name val="Calibri"/>
      <family val="2"/>
    </font>
    <font>
      <sz val="16"/>
      <color theme="1"/>
      <name val="Calibri"/>
      <family val="2"/>
    </font>
    <font>
      <sz val="11"/>
      <color theme="0"/>
      <name val="Symbol"/>
      <family val="1"/>
      <charset val="2"/>
    </font>
  </fonts>
  <fills count="32">
    <fill>
      <patternFill patternType="none"/>
    </fill>
    <fill>
      <patternFill patternType="gray125"/>
    </fill>
    <fill>
      <patternFill patternType="solid">
        <fgColor theme="0"/>
        <bgColor theme="0"/>
      </patternFill>
    </fill>
    <fill>
      <patternFill patternType="solid">
        <fgColor rgb="FFB4C6E7"/>
        <bgColor rgb="FFB4C6E7"/>
      </patternFill>
    </fill>
    <fill>
      <patternFill patternType="solid">
        <fgColor rgb="FFD6DCE4"/>
        <bgColor rgb="FFD6DCE4"/>
      </patternFill>
    </fill>
    <fill>
      <patternFill patternType="solid">
        <fgColor rgb="FF1E4E79"/>
        <bgColor rgb="FF1E4E79"/>
      </patternFill>
    </fill>
    <fill>
      <patternFill patternType="solid">
        <fgColor rgb="FFD8D8D8"/>
        <bgColor rgb="FFD8D8D8"/>
      </patternFill>
    </fill>
    <fill>
      <patternFill patternType="solid">
        <fgColor rgb="FFF2F2F2"/>
        <bgColor rgb="FFF2F2F2"/>
      </patternFill>
    </fill>
    <fill>
      <patternFill patternType="solid">
        <fgColor rgb="FFFFFF00"/>
        <bgColor rgb="FFFFFF00"/>
      </patternFill>
    </fill>
    <fill>
      <patternFill patternType="solid">
        <fgColor rgb="FFFFCCFF"/>
        <bgColor rgb="FFFFCCFF"/>
      </patternFill>
    </fill>
    <fill>
      <patternFill patternType="solid">
        <fgColor rgb="FFCCFFCC"/>
        <bgColor rgb="FFCCFFCC"/>
      </patternFill>
    </fill>
    <fill>
      <patternFill patternType="solid">
        <fgColor theme="0"/>
        <bgColor rgb="FFD6DCE4"/>
      </patternFill>
    </fill>
    <fill>
      <patternFill patternType="solid">
        <fgColor theme="0"/>
        <bgColor rgb="FF1E4E79"/>
      </patternFill>
    </fill>
    <fill>
      <patternFill patternType="solid">
        <fgColor theme="0"/>
        <bgColor indexed="64"/>
      </patternFill>
    </fill>
    <fill>
      <patternFill patternType="solid">
        <fgColor theme="0"/>
        <bgColor rgb="FFD8D8D8"/>
      </patternFill>
    </fill>
    <fill>
      <patternFill patternType="solid">
        <fgColor theme="0"/>
        <bgColor rgb="FF2E75B5"/>
      </patternFill>
    </fill>
    <fill>
      <patternFill patternType="solid">
        <fgColor theme="4"/>
        <bgColor indexed="64"/>
      </patternFill>
    </fill>
    <fill>
      <patternFill patternType="solid">
        <fgColor theme="4" tint="0.79998168889431442"/>
        <bgColor rgb="FFD6DCE4"/>
      </patternFill>
    </fill>
    <fill>
      <patternFill patternType="solid">
        <fgColor theme="4" tint="0.79998168889431442"/>
        <bgColor theme="0"/>
      </patternFill>
    </fill>
    <fill>
      <patternFill patternType="solid">
        <fgColor theme="4" tint="0.79998168889431442"/>
        <bgColor indexed="64"/>
      </patternFill>
    </fill>
    <fill>
      <patternFill patternType="solid">
        <fgColor theme="4" tint="-0.499984740745262"/>
        <bgColor indexed="64"/>
      </patternFill>
    </fill>
    <fill>
      <patternFill patternType="solid">
        <fgColor theme="0" tint="-0.14999847407452621"/>
        <bgColor indexed="64"/>
      </patternFill>
    </fill>
    <fill>
      <patternFill patternType="solid">
        <fgColor rgb="FF92D050"/>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2" tint="-0.14999847407452621"/>
        <bgColor indexed="64"/>
      </patternFill>
    </fill>
    <fill>
      <patternFill patternType="solid">
        <fgColor rgb="FF002060"/>
        <bgColor indexed="64"/>
      </patternFill>
    </fill>
    <fill>
      <patternFill patternType="solid">
        <fgColor theme="7"/>
        <bgColor indexed="64"/>
      </patternFill>
    </fill>
    <fill>
      <patternFill patternType="solid">
        <fgColor theme="7"/>
        <bgColor theme="0"/>
      </patternFill>
    </fill>
    <fill>
      <patternFill patternType="solid">
        <fgColor rgb="FFFFC000"/>
        <bgColor indexed="64"/>
      </patternFill>
    </fill>
  </fills>
  <borders count="58">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bottom/>
      <diagonal/>
    </border>
    <border>
      <left style="thin">
        <color rgb="FF000000"/>
      </left>
      <right/>
      <top/>
      <bottom/>
      <diagonal/>
    </border>
    <border>
      <left/>
      <right style="thin">
        <color rgb="FF000000"/>
      </right>
      <top/>
      <bottom/>
      <diagonal/>
    </border>
    <border>
      <left/>
      <right/>
      <top/>
      <bottom/>
      <diagonal/>
    </border>
    <border>
      <left/>
      <right/>
      <top/>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medium">
        <color indexed="64"/>
      </left>
      <right style="medium">
        <color theme="1"/>
      </right>
      <top style="medium">
        <color theme="1"/>
      </top>
      <bottom style="medium">
        <color theme="1"/>
      </bottom>
      <diagonal/>
    </border>
    <border>
      <left style="thin">
        <color rgb="FF000000"/>
      </left>
      <right style="medium">
        <color indexed="64"/>
      </right>
      <top style="thin">
        <color rgb="FF000000"/>
      </top>
      <bottom style="thin">
        <color rgb="FF000000"/>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s>
  <cellStyleXfs count="6">
    <xf numFmtId="0" fontId="0" fillId="0" borderId="0"/>
    <xf numFmtId="164" fontId="33" fillId="0" borderId="0" applyFont="0" applyFill="0" applyBorder="0" applyAlignment="0" applyProtection="0"/>
    <xf numFmtId="0" fontId="6" fillId="0" borderId="8"/>
    <xf numFmtId="9" fontId="6" fillId="0" borderId="8" applyFont="0" applyFill="0" applyBorder="0" applyAlignment="0" applyProtection="0"/>
    <xf numFmtId="43" fontId="6" fillId="0" borderId="8" applyFont="0" applyFill="0" applyBorder="0" applyAlignment="0" applyProtection="0"/>
    <xf numFmtId="0" fontId="57" fillId="0" borderId="0" applyNumberFormat="0" applyFill="0" applyBorder="0" applyAlignment="0" applyProtection="0"/>
  </cellStyleXfs>
  <cellXfs count="486">
    <xf numFmtId="0" fontId="0" fillId="0" borderId="0" xfId="0"/>
    <xf numFmtId="0" fontId="7" fillId="0" borderId="2" xfId="0" applyFont="1" applyBorder="1"/>
    <xf numFmtId="0" fontId="7" fillId="2" borderId="3" xfId="0" applyFont="1" applyFill="1" applyBorder="1"/>
    <xf numFmtId="0" fontId="7" fillId="0" borderId="0" xfId="0" applyFont="1"/>
    <xf numFmtId="0" fontId="7" fillId="0" borderId="5" xfId="0" applyFont="1" applyBorder="1"/>
    <xf numFmtId="0" fontId="7" fillId="0" borderId="10" xfId="0" applyFont="1" applyBorder="1"/>
    <xf numFmtId="0" fontId="7" fillId="4" borderId="12" xfId="0" applyFont="1" applyFill="1" applyBorder="1"/>
    <xf numFmtId="0" fontId="7" fillId="4" borderId="13" xfId="0" applyFont="1" applyFill="1" applyBorder="1"/>
    <xf numFmtId="0" fontId="7" fillId="4" borderId="14" xfId="0" applyFont="1" applyFill="1" applyBorder="1"/>
    <xf numFmtId="0" fontId="7" fillId="4" borderId="15" xfId="0" applyFont="1" applyFill="1" applyBorder="1"/>
    <xf numFmtId="0" fontId="7" fillId="4" borderId="3" xfId="0" applyFont="1" applyFill="1" applyBorder="1"/>
    <xf numFmtId="0" fontId="7" fillId="4" borderId="16" xfId="0" applyFont="1" applyFill="1" applyBorder="1"/>
    <xf numFmtId="0" fontId="8" fillId="4" borderId="3" xfId="0" applyFont="1" applyFill="1" applyBorder="1"/>
    <xf numFmtId="165" fontId="7" fillId="6" borderId="17" xfId="0" applyNumberFormat="1" applyFont="1" applyFill="1" applyBorder="1" applyAlignment="1">
      <alignment horizontal="center" vertical="center"/>
    </xf>
    <xf numFmtId="0" fontId="7" fillId="4" borderId="18" xfId="0" applyFont="1" applyFill="1" applyBorder="1"/>
    <xf numFmtId="0" fontId="7" fillId="4" borderId="19" xfId="0" applyFont="1" applyFill="1" applyBorder="1"/>
    <xf numFmtId="0" fontId="7" fillId="4" borderId="20" xfId="0" applyFont="1" applyFill="1" applyBorder="1"/>
    <xf numFmtId="0" fontId="7" fillId="4" borderId="3" xfId="0" applyFont="1" applyFill="1" applyBorder="1" applyAlignment="1">
      <alignment horizontal="right"/>
    </xf>
    <xf numFmtId="0" fontId="7" fillId="2" borderId="17" xfId="0" applyFont="1" applyFill="1" applyBorder="1" applyAlignment="1">
      <alignment horizontal="center"/>
    </xf>
    <xf numFmtId="0" fontId="7" fillId="4" borderId="3" xfId="0" applyFont="1" applyFill="1" applyBorder="1" applyAlignment="1">
      <alignment horizontal="center"/>
    </xf>
    <xf numFmtId="1" fontId="7" fillId="6" borderId="17" xfId="0" applyNumberFormat="1" applyFont="1" applyFill="1" applyBorder="1" applyAlignment="1">
      <alignment horizontal="center" vertical="center"/>
    </xf>
    <xf numFmtId="165" fontId="7" fillId="6" borderId="21" xfId="0" applyNumberFormat="1" applyFont="1" applyFill="1" applyBorder="1" applyAlignment="1">
      <alignment horizontal="center" vertical="center"/>
    </xf>
    <xf numFmtId="1" fontId="7" fillId="4" borderId="3" xfId="0" applyNumberFormat="1" applyFont="1" applyFill="1" applyBorder="1"/>
    <xf numFmtId="49" fontId="7" fillId="4" borderId="3" xfId="0" applyNumberFormat="1" applyFont="1" applyFill="1" applyBorder="1"/>
    <xf numFmtId="0" fontId="22" fillId="0" borderId="0" xfId="0" applyFont="1"/>
    <xf numFmtId="0" fontId="8" fillId="4" borderId="3" xfId="0" applyFont="1" applyFill="1" applyBorder="1" applyAlignment="1">
      <alignment horizontal="center"/>
    </xf>
    <xf numFmtId="0" fontId="7" fillId="0" borderId="17" xfId="0" applyFont="1" applyBorder="1"/>
    <xf numFmtId="165" fontId="7" fillId="4" borderId="17" xfId="0" applyNumberFormat="1" applyFont="1" applyFill="1" applyBorder="1" applyAlignment="1">
      <alignment horizontal="center"/>
    </xf>
    <xf numFmtId="2" fontId="7" fillId="0" borderId="17" xfId="0" applyNumberFormat="1" applyFont="1" applyBorder="1"/>
    <xf numFmtId="0" fontId="8" fillId="7" borderId="3" xfId="0" applyFont="1" applyFill="1" applyBorder="1" applyAlignment="1">
      <alignment horizontal="left"/>
    </xf>
    <xf numFmtId="2" fontId="7" fillId="7" borderId="17" xfId="0" applyNumberFormat="1" applyFont="1" applyFill="1" applyBorder="1" applyAlignment="1">
      <alignment horizontal="center"/>
    </xf>
    <xf numFmtId="2" fontId="7" fillId="0" borderId="0" xfId="0" applyNumberFormat="1" applyFont="1"/>
    <xf numFmtId="2" fontId="7" fillId="0" borderId="17" xfId="0" applyNumberFormat="1" applyFont="1" applyBorder="1" applyAlignment="1">
      <alignment horizontal="center"/>
    </xf>
    <xf numFmtId="0" fontId="8" fillId="7" borderId="3" xfId="0" applyFont="1" applyFill="1" applyBorder="1" applyAlignment="1">
      <alignment horizontal="left" wrapText="1"/>
    </xf>
    <xf numFmtId="0" fontId="7" fillId="0" borderId="0" xfId="0" applyFont="1" applyAlignment="1">
      <alignment horizontal="center"/>
    </xf>
    <xf numFmtId="2" fontId="7" fillId="4" borderId="17" xfId="0" applyNumberFormat="1" applyFont="1" applyFill="1" applyBorder="1" applyAlignment="1">
      <alignment horizontal="center"/>
    </xf>
    <xf numFmtId="2" fontId="7" fillId="0" borderId="0" xfId="0" applyNumberFormat="1" applyFont="1" applyAlignment="1">
      <alignment horizontal="center"/>
    </xf>
    <xf numFmtId="1" fontId="7" fillId="0" borderId="0" xfId="0" applyNumberFormat="1" applyFont="1" applyAlignment="1">
      <alignment horizontal="center"/>
    </xf>
    <xf numFmtId="0" fontId="8" fillId="0" borderId="0" xfId="0" applyFont="1"/>
    <xf numFmtId="0" fontId="7" fillId="0" borderId="0" xfId="0" applyFont="1" applyAlignment="1">
      <alignment horizontal="right"/>
    </xf>
    <xf numFmtId="2" fontId="7" fillId="2" borderId="17" xfId="0" applyNumberFormat="1" applyFont="1" applyFill="1" applyBorder="1" applyAlignment="1">
      <alignment horizontal="center"/>
    </xf>
    <xf numFmtId="0" fontId="7" fillId="8" borderId="17" xfId="0" applyFont="1" applyFill="1" applyBorder="1" applyAlignment="1">
      <alignment horizontal="center"/>
    </xf>
    <xf numFmtId="1" fontId="7" fillId="2" borderId="17" xfId="0" applyNumberFormat="1" applyFont="1" applyFill="1" applyBorder="1" applyAlignment="1">
      <alignment horizontal="center"/>
    </xf>
    <xf numFmtId="165" fontId="7" fillId="2" borderId="17" xfId="0" applyNumberFormat="1" applyFont="1" applyFill="1" applyBorder="1" applyAlignment="1">
      <alignment horizontal="center"/>
    </xf>
    <xf numFmtId="166" fontId="7" fillId="0" borderId="0" xfId="0" applyNumberFormat="1" applyFont="1"/>
    <xf numFmtId="1" fontId="7" fillId="0" borderId="0" xfId="0" applyNumberFormat="1" applyFont="1"/>
    <xf numFmtId="0" fontId="8" fillId="6" borderId="17" xfId="0" applyFont="1" applyFill="1" applyBorder="1" applyAlignment="1">
      <alignment horizontal="right"/>
    </xf>
    <xf numFmtId="0" fontId="8" fillId="6" borderId="17" xfId="0" applyFont="1" applyFill="1" applyBorder="1" applyAlignment="1">
      <alignment horizontal="center"/>
    </xf>
    <xf numFmtId="0" fontId="7" fillId="6" borderId="17" xfId="0" applyFont="1" applyFill="1" applyBorder="1"/>
    <xf numFmtId="2" fontId="7" fillId="9" borderId="17" xfId="0" applyNumberFormat="1" applyFont="1" applyFill="1" applyBorder="1" applyAlignment="1">
      <alignment horizontal="center"/>
    </xf>
    <xf numFmtId="167" fontId="7" fillId="0" borderId="0" xfId="0" applyNumberFormat="1" applyFont="1"/>
    <xf numFmtId="0" fontId="7" fillId="0" borderId="0" xfId="0" applyFont="1" applyAlignment="1">
      <alignment horizontal="left"/>
    </xf>
    <xf numFmtId="0" fontId="8" fillId="6" borderId="17" xfId="0" applyFont="1" applyFill="1" applyBorder="1" applyAlignment="1">
      <alignment horizontal="center" wrapText="1"/>
    </xf>
    <xf numFmtId="165" fontId="7" fillId="6" borderId="17" xfId="0" applyNumberFormat="1" applyFont="1" applyFill="1" applyBorder="1"/>
    <xf numFmtId="165" fontId="7" fillId="10" borderId="17" xfId="0" applyNumberFormat="1" applyFont="1" applyFill="1" applyBorder="1" applyAlignment="1">
      <alignment horizontal="center"/>
    </xf>
    <xf numFmtId="0" fontId="7" fillId="4" borderId="3" xfId="0" applyFont="1" applyFill="1" applyBorder="1" applyAlignment="1">
      <alignment horizontal="left"/>
    </xf>
    <xf numFmtId="0" fontId="7" fillId="3" borderId="17" xfId="0" applyFont="1" applyFill="1" applyBorder="1" applyAlignment="1">
      <alignment wrapText="1"/>
    </xf>
    <xf numFmtId="0" fontId="7" fillId="0" borderId="2" xfId="0" applyFont="1" applyBorder="1" applyAlignment="1">
      <alignment wrapText="1"/>
    </xf>
    <xf numFmtId="0" fontId="7" fillId="0" borderId="22" xfId="0" applyFont="1" applyBorder="1" applyAlignment="1">
      <alignment wrapText="1"/>
    </xf>
    <xf numFmtId="0" fontId="7" fillId="0" borderId="5" xfId="0" applyFont="1" applyBorder="1" applyAlignment="1">
      <alignment wrapText="1"/>
    </xf>
    <xf numFmtId="0" fontId="7" fillId="0" borderId="23" xfId="0" applyFont="1" applyBorder="1" applyAlignment="1">
      <alignment wrapText="1"/>
    </xf>
    <xf numFmtId="0" fontId="7" fillId="3" borderId="17" xfId="0" applyFont="1" applyFill="1" applyBorder="1" applyAlignment="1">
      <alignment vertical="center" wrapText="1"/>
    </xf>
    <xf numFmtId="0" fontId="7" fillId="0" borderId="5" xfId="0" applyFont="1" applyBorder="1" applyAlignment="1">
      <alignment vertical="center" wrapText="1"/>
    </xf>
    <xf numFmtId="0" fontId="24" fillId="0" borderId="5" xfId="0" applyFont="1" applyBorder="1" applyAlignment="1">
      <alignment horizontal="left" vertical="center" wrapText="1"/>
    </xf>
    <xf numFmtId="0" fontId="7" fillId="0" borderId="11" xfId="0" applyFont="1" applyBorder="1" applyAlignment="1">
      <alignment wrapText="1"/>
    </xf>
    <xf numFmtId="0" fontId="7" fillId="0" borderId="24" xfId="0" applyFont="1" applyBorder="1" applyAlignment="1">
      <alignment wrapText="1"/>
    </xf>
    <xf numFmtId="0" fontId="7" fillId="3" borderId="17" xfId="0" applyFont="1" applyFill="1" applyBorder="1"/>
    <xf numFmtId="0" fontId="7" fillId="0" borderId="23" xfId="0" applyFont="1" applyBorder="1"/>
    <xf numFmtId="0" fontId="7" fillId="0" borderId="24" xfId="0" applyFont="1" applyBorder="1"/>
    <xf numFmtId="0" fontId="7" fillId="0" borderId="22" xfId="0" applyFont="1" applyBorder="1"/>
    <xf numFmtId="0" fontId="7" fillId="11" borderId="13" xfId="0" applyFont="1" applyFill="1" applyBorder="1"/>
    <xf numFmtId="0" fontId="7" fillId="11" borderId="3" xfId="0" applyFont="1" applyFill="1" applyBorder="1"/>
    <xf numFmtId="165" fontId="7" fillId="14" borderId="17" xfId="0" applyNumberFormat="1" applyFont="1" applyFill="1" applyBorder="1" applyAlignment="1">
      <alignment horizontal="center" vertical="center"/>
    </xf>
    <xf numFmtId="0" fontId="7" fillId="11" borderId="8" xfId="0" applyFont="1" applyFill="1" applyBorder="1"/>
    <xf numFmtId="0" fontId="8" fillId="11" borderId="8" xfId="0" applyFont="1" applyFill="1" applyBorder="1"/>
    <xf numFmtId="0" fontId="7" fillId="2" borderId="8" xfId="0" applyFont="1" applyFill="1" applyBorder="1"/>
    <xf numFmtId="0" fontId="7" fillId="0" borderId="8" xfId="0" applyFont="1" applyBorder="1"/>
    <xf numFmtId="0" fontId="0" fillId="0" borderId="8" xfId="0" applyBorder="1"/>
    <xf numFmtId="0" fontId="9" fillId="15" borderId="8" xfId="0" applyFont="1" applyFill="1" applyBorder="1" applyAlignment="1">
      <alignment vertical="center"/>
    </xf>
    <xf numFmtId="0" fontId="10" fillId="13" borderId="8" xfId="0" applyFont="1" applyFill="1" applyBorder="1"/>
    <xf numFmtId="0" fontId="7" fillId="13" borderId="27" xfId="0" applyFont="1" applyFill="1" applyBorder="1"/>
    <xf numFmtId="0" fontId="7" fillId="13" borderId="28" xfId="0" applyFont="1" applyFill="1" applyBorder="1"/>
    <xf numFmtId="0" fontId="7" fillId="13" borderId="30" xfId="0" applyFont="1" applyFill="1" applyBorder="1"/>
    <xf numFmtId="0" fontId="7" fillId="13" borderId="8" xfId="0" applyFont="1" applyFill="1" applyBorder="1"/>
    <xf numFmtId="0" fontId="0" fillId="13" borderId="8" xfId="0" applyFill="1" applyBorder="1"/>
    <xf numFmtId="0" fontId="7" fillId="13" borderId="31" xfId="0" applyFont="1" applyFill="1" applyBorder="1"/>
    <xf numFmtId="0" fontId="8" fillId="13" borderId="8" xfId="0" applyFont="1" applyFill="1" applyBorder="1"/>
    <xf numFmtId="0" fontId="0" fillId="13" borderId="30" xfId="0" applyFill="1" applyBorder="1"/>
    <xf numFmtId="0" fontId="12" fillId="13" borderId="8" xfId="0" applyFont="1" applyFill="1" applyBorder="1"/>
    <xf numFmtId="0" fontId="7" fillId="13" borderId="32" xfId="0" applyFont="1" applyFill="1" applyBorder="1"/>
    <xf numFmtId="0" fontId="7" fillId="13" borderId="33" xfId="0" applyFont="1" applyFill="1" applyBorder="1"/>
    <xf numFmtId="0" fontId="7" fillId="0" borderId="13" xfId="0" applyFont="1" applyBorder="1"/>
    <xf numFmtId="0" fontId="7" fillId="0" borderId="15" xfId="0" applyFont="1" applyBorder="1"/>
    <xf numFmtId="0" fontId="7" fillId="0" borderId="3" xfId="0" applyFont="1" applyBorder="1"/>
    <xf numFmtId="0" fontId="8" fillId="0" borderId="3" xfId="0" applyFont="1" applyBorder="1"/>
    <xf numFmtId="0" fontId="7" fillId="0" borderId="25" xfId="0" applyFont="1" applyBorder="1"/>
    <xf numFmtId="0" fontId="7" fillId="0" borderId="8" xfId="0" applyFont="1" applyBorder="1" applyAlignment="1">
      <alignment horizontal="center"/>
    </xf>
    <xf numFmtId="0" fontId="7" fillId="17" borderId="3" xfId="0" applyFont="1" applyFill="1" applyBorder="1"/>
    <xf numFmtId="0" fontId="7" fillId="17" borderId="3" xfId="0" applyFont="1" applyFill="1" applyBorder="1" applyAlignment="1">
      <alignment horizontal="right"/>
    </xf>
    <xf numFmtId="0" fontId="7" fillId="18" borderId="17" xfId="0" applyFont="1" applyFill="1" applyBorder="1" applyAlignment="1">
      <alignment horizontal="center"/>
    </xf>
    <xf numFmtId="0" fontId="7" fillId="17" borderId="8" xfId="0" applyFont="1" applyFill="1" applyBorder="1"/>
    <xf numFmtId="0" fontId="7" fillId="17" borderId="8" xfId="0" applyFont="1" applyFill="1" applyBorder="1" applyAlignment="1">
      <alignment horizontal="right"/>
    </xf>
    <xf numFmtId="0" fontId="7" fillId="18" borderId="8" xfId="0" applyFont="1" applyFill="1" applyBorder="1" applyAlignment="1">
      <alignment horizontal="center"/>
    </xf>
    <xf numFmtId="0" fontId="8" fillId="17" borderId="8" xfId="0" applyFont="1" applyFill="1" applyBorder="1"/>
    <xf numFmtId="0" fontId="0" fillId="19" borderId="0" xfId="0" applyFill="1"/>
    <xf numFmtId="0" fontId="7" fillId="19" borderId="0" xfId="0" applyFont="1" applyFill="1" applyAlignment="1">
      <alignment horizontal="center"/>
    </xf>
    <xf numFmtId="0" fontId="8" fillId="0" borderId="8" xfId="0" applyFont="1" applyBorder="1"/>
    <xf numFmtId="0" fontId="7" fillId="0" borderId="27" xfId="0" applyFont="1" applyBorder="1"/>
    <xf numFmtId="0" fontId="7" fillId="0" borderId="28" xfId="0" applyFont="1" applyBorder="1"/>
    <xf numFmtId="0" fontId="7" fillId="2" borderId="28" xfId="0" applyFont="1" applyFill="1" applyBorder="1"/>
    <xf numFmtId="0" fontId="7" fillId="2" borderId="29" xfId="0" applyFont="1" applyFill="1" applyBorder="1"/>
    <xf numFmtId="0" fontId="7" fillId="0" borderId="30" xfId="0" applyFont="1" applyBorder="1"/>
    <xf numFmtId="0" fontId="7" fillId="2" borderId="31" xfId="0" applyFont="1" applyFill="1" applyBorder="1"/>
    <xf numFmtId="0" fontId="7" fillId="2" borderId="30" xfId="0" applyFont="1" applyFill="1" applyBorder="1"/>
    <xf numFmtId="0" fontId="7" fillId="2" borderId="32" xfId="0" applyFont="1" applyFill="1" applyBorder="1"/>
    <xf numFmtId="0" fontId="7" fillId="2" borderId="33" xfId="0" applyFont="1" applyFill="1" applyBorder="1"/>
    <xf numFmtId="0" fontId="7" fillId="2" borderId="34" xfId="0" applyFont="1" applyFill="1" applyBorder="1"/>
    <xf numFmtId="0" fontId="20" fillId="0" borderId="8" xfId="0" applyFont="1" applyBorder="1"/>
    <xf numFmtId="0" fontId="19" fillId="0" borderId="8" xfId="0" applyFont="1" applyBorder="1"/>
    <xf numFmtId="0" fontId="7" fillId="4" borderId="8" xfId="0" applyFont="1" applyFill="1" applyBorder="1"/>
    <xf numFmtId="0" fontId="8" fillId="4" borderId="8" xfId="0" applyFont="1" applyFill="1" applyBorder="1"/>
    <xf numFmtId="49" fontId="7" fillId="4" borderId="8" xfId="0" applyNumberFormat="1" applyFont="1" applyFill="1" applyBorder="1"/>
    <xf numFmtId="0" fontId="10" fillId="0" borderId="8" xfId="0" applyFont="1" applyBorder="1"/>
    <xf numFmtId="0" fontId="6" fillId="21" borderId="8" xfId="2" applyFill="1"/>
    <xf numFmtId="0" fontId="6" fillId="0" borderId="8" xfId="2"/>
    <xf numFmtId="0" fontId="6" fillId="0" borderId="30" xfId="2" applyBorder="1"/>
    <xf numFmtId="0" fontId="6" fillId="0" borderId="31" xfId="2" applyBorder="1"/>
    <xf numFmtId="0" fontId="6" fillId="22" borderId="35" xfId="2" applyFill="1" applyBorder="1"/>
    <xf numFmtId="0" fontId="6" fillId="0" borderId="32" xfId="2" applyBorder="1"/>
    <xf numFmtId="0" fontId="6" fillId="0" borderId="33" xfId="2" applyBorder="1"/>
    <xf numFmtId="0" fontId="6" fillId="0" borderId="34" xfId="2" applyBorder="1"/>
    <xf numFmtId="0" fontId="6" fillId="13" borderId="30" xfId="2" applyFill="1" applyBorder="1"/>
    <xf numFmtId="0" fontId="6" fillId="13" borderId="8" xfId="2" applyFill="1"/>
    <xf numFmtId="0" fontId="6" fillId="13" borderId="31" xfId="2" applyFill="1" applyBorder="1"/>
    <xf numFmtId="0" fontId="6" fillId="23" borderId="35" xfId="2" applyFill="1" applyBorder="1"/>
    <xf numFmtId="0" fontId="37" fillId="19" borderId="27" xfId="2" applyFont="1" applyFill="1" applyBorder="1"/>
    <xf numFmtId="9" fontId="37" fillId="19" borderId="28" xfId="3" applyFont="1" applyFill="1" applyBorder="1" applyAlignment="1">
      <alignment horizontal="left"/>
    </xf>
    <xf numFmtId="0" fontId="6" fillId="19" borderId="28" xfId="2" applyFill="1" applyBorder="1"/>
    <xf numFmtId="1" fontId="37" fillId="19" borderId="32" xfId="2" applyNumberFormat="1" applyFont="1" applyFill="1" applyBorder="1"/>
    <xf numFmtId="9" fontId="37" fillId="19" borderId="33" xfId="3" applyFont="1" applyFill="1" applyBorder="1" applyAlignment="1">
      <alignment horizontal="left"/>
    </xf>
    <xf numFmtId="0" fontId="6" fillId="19" borderId="33" xfId="2" applyFill="1" applyBorder="1"/>
    <xf numFmtId="0" fontId="35" fillId="0" borderId="8" xfId="2" applyFont="1"/>
    <xf numFmtId="0" fontId="35" fillId="0" borderId="31" xfId="2" applyFont="1" applyBorder="1"/>
    <xf numFmtId="0" fontId="6" fillId="24" borderId="39" xfId="2" applyFill="1" applyBorder="1"/>
    <xf numFmtId="165" fontId="6" fillId="24" borderId="35" xfId="2" applyNumberFormat="1" applyFill="1" applyBorder="1"/>
    <xf numFmtId="0" fontId="6" fillId="21" borderId="35" xfId="2" applyFill="1" applyBorder="1"/>
    <xf numFmtId="0" fontId="6" fillId="13" borderId="32" xfId="2" applyFill="1" applyBorder="1"/>
    <xf numFmtId="0" fontId="6" fillId="13" borderId="33" xfId="2" applyFill="1" applyBorder="1"/>
    <xf numFmtId="0" fontId="6" fillId="13" borderId="34" xfId="2" applyFill="1" applyBorder="1"/>
    <xf numFmtId="0" fontId="6" fillId="22" borderId="39" xfId="2" applyFill="1" applyBorder="1"/>
    <xf numFmtId="9" fontId="0" fillId="22" borderId="35" xfId="3" applyFont="1" applyFill="1" applyBorder="1"/>
    <xf numFmtId="0" fontId="6" fillId="21" borderId="28" xfId="2" applyFill="1" applyBorder="1"/>
    <xf numFmtId="0" fontId="6" fillId="25" borderId="27" xfId="2" applyFill="1" applyBorder="1"/>
    <xf numFmtId="0" fontId="6" fillId="25" borderId="29" xfId="2" applyFill="1" applyBorder="1"/>
    <xf numFmtId="0" fontId="6" fillId="19" borderId="29" xfId="2" applyFill="1" applyBorder="1"/>
    <xf numFmtId="168" fontId="39" fillId="25" borderId="30" xfId="4" applyNumberFormat="1" applyFont="1" applyFill="1" applyBorder="1"/>
    <xf numFmtId="0" fontId="6" fillId="25" borderId="31" xfId="2" applyFill="1" applyBorder="1"/>
    <xf numFmtId="0" fontId="6" fillId="19" borderId="8" xfId="2" applyFill="1"/>
    <xf numFmtId="1" fontId="6" fillId="19" borderId="8" xfId="2" applyNumberFormat="1" applyFill="1"/>
    <xf numFmtId="0" fontId="6" fillId="19" borderId="31" xfId="2" applyFill="1" applyBorder="1"/>
    <xf numFmtId="0" fontId="6" fillId="25" borderId="32" xfId="2" applyFill="1" applyBorder="1"/>
    <xf numFmtId="0" fontId="6" fillId="25" borderId="34" xfId="2" applyFill="1" applyBorder="1"/>
    <xf numFmtId="0" fontId="6" fillId="19" borderId="34" xfId="2" applyFill="1" applyBorder="1"/>
    <xf numFmtId="0" fontId="6" fillId="13" borderId="28" xfId="2" applyFill="1" applyBorder="1"/>
    <xf numFmtId="0" fontId="6" fillId="13" borderId="29" xfId="2" applyFill="1" applyBorder="1"/>
    <xf numFmtId="0" fontId="35" fillId="13" borderId="8" xfId="2" applyFont="1" applyFill="1"/>
    <xf numFmtId="0" fontId="6" fillId="13" borderId="8" xfId="2" applyFill="1" applyAlignment="1">
      <alignment horizontal="center"/>
    </xf>
    <xf numFmtId="0" fontId="41" fillId="21" borderId="8" xfId="2" applyFont="1" applyFill="1"/>
    <xf numFmtId="0" fontId="6" fillId="13" borderId="8" xfId="2" applyFill="1" applyAlignment="1">
      <alignment horizontal="right"/>
    </xf>
    <xf numFmtId="165" fontId="6" fillId="21" borderId="35" xfId="2" applyNumberFormat="1" applyFill="1" applyBorder="1"/>
    <xf numFmtId="9" fontId="0" fillId="13" borderId="31" xfId="3" applyFont="1" applyFill="1" applyBorder="1"/>
    <xf numFmtId="1" fontId="6" fillId="22" borderId="35" xfId="2" applyNumberFormat="1" applyFill="1" applyBorder="1"/>
    <xf numFmtId="165" fontId="42" fillId="21" borderId="35" xfId="2" applyNumberFormat="1" applyFont="1" applyFill="1" applyBorder="1"/>
    <xf numFmtId="0" fontId="42" fillId="22" borderId="35" xfId="2" applyFont="1" applyFill="1" applyBorder="1"/>
    <xf numFmtId="0" fontId="6" fillId="13" borderId="8" xfId="2" applyFill="1" applyAlignment="1">
      <alignment vertical="center"/>
    </xf>
    <xf numFmtId="0" fontId="6" fillId="13" borderId="33" xfId="2" applyFill="1" applyBorder="1" applyAlignment="1">
      <alignment vertical="center"/>
    </xf>
    <xf numFmtId="0" fontId="43" fillId="21" borderId="8" xfId="2" applyFont="1" applyFill="1"/>
    <xf numFmtId="0" fontId="43" fillId="0" borderId="8" xfId="2" applyFont="1"/>
    <xf numFmtId="9" fontId="43" fillId="21" borderId="8" xfId="3" applyFont="1" applyFill="1"/>
    <xf numFmtId="1" fontId="43" fillId="21" borderId="8" xfId="2" applyNumberFormat="1" applyFont="1" applyFill="1"/>
    <xf numFmtId="0" fontId="30" fillId="21" borderId="8" xfId="2" applyFont="1" applyFill="1"/>
    <xf numFmtId="11" fontId="6" fillId="0" borderId="8" xfId="2" applyNumberFormat="1"/>
    <xf numFmtId="10" fontId="6" fillId="0" borderId="8" xfId="2" applyNumberFormat="1"/>
    <xf numFmtId="2" fontId="6" fillId="0" borderId="8" xfId="2" applyNumberFormat="1"/>
    <xf numFmtId="165" fontId="6" fillId="0" borderId="8" xfId="2" applyNumberFormat="1"/>
    <xf numFmtId="0" fontId="34" fillId="0" borderId="8" xfId="2" applyFont="1"/>
    <xf numFmtId="0" fontId="6" fillId="0" borderId="8" xfId="2" applyAlignment="1">
      <alignment wrapText="1"/>
    </xf>
    <xf numFmtId="43" fontId="6" fillId="0" borderId="8" xfId="2" applyNumberFormat="1"/>
    <xf numFmtId="43" fontId="0" fillId="0" borderId="8" xfId="4" applyFont="1"/>
    <xf numFmtId="9" fontId="6" fillId="0" borderId="8" xfId="2" applyNumberFormat="1"/>
    <xf numFmtId="0" fontId="6" fillId="0" borderId="0" xfId="0" applyFont="1"/>
    <xf numFmtId="1" fontId="0" fillId="0" borderId="0" xfId="0" applyNumberFormat="1"/>
    <xf numFmtId="0" fontId="44" fillId="21" borderId="8" xfId="2" applyFont="1" applyFill="1" applyAlignment="1">
      <alignment horizontal="center"/>
    </xf>
    <xf numFmtId="0" fontId="44" fillId="21" borderId="8" xfId="2" applyFont="1" applyFill="1"/>
    <xf numFmtId="0" fontId="6" fillId="26" borderId="35" xfId="2" applyFill="1" applyBorder="1"/>
    <xf numFmtId="1" fontId="6" fillId="26" borderId="35" xfId="2" applyNumberFormat="1" applyFill="1" applyBorder="1"/>
    <xf numFmtId="0" fontId="6" fillId="27" borderId="8" xfId="2" applyFill="1"/>
    <xf numFmtId="0" fontId="45" fillId="21" borderId="8" xfId="2" applyFont="1" applyFill="1"/>
    <xf numFmtId="0" fontId="45" fillId="27" borderId="8" xfId="2" applyFont="1" applyFill="1" applyAlignment="1">
      <alignment horizontal="center" vertical="center"/>
    </xf>
    <xf numFmtId="0" fontId="6" fillId="26" borderId="36" xfId="2" applyFill="1" applyBorder="1"/>
    <xf numFmtId="169" fontId="6" fillId="27" borderId="35" xfId="2" applyNumberFormat="1" applyFill="1" applyBorder="1"/>
    <xf numFmtId="0" fontId="6" fillId="0" borderId="28" xfId="2" applyBorder="1"/>
    <xf numFmtId="0" fontId="6" fillId="0" borderId="27" xfId="2" applyBorder="1"/>
    <xf numFmtId="0" fontId="6" fillId="0" borderId="29" xfId="2" applyBorder="1"/>
    <xf numFmtId="0" fontId="6" fillId="0" borderId="8" xfId="2" applyAlignment="1">
      <alignment horizontal="left"/>
    </xf>
    <xf numFmtId="0" fontId="42" fillId="0" borderId="8" xfId="2" applyFont="1"/>
    <xf numFmtId="1" fontId="6" fillId="27" borderId="8" xfId="2" applyNumberFormat="1" applyFill="1"/>
    <xf numFmtId="0" fontId="16" fillId="0" borderId="8" xfId="0" applyFont="1" applyBorder="1" applyAlignment="1">
      <alignment horizontal="left"/>
    </xf>
    <xf numFmtId="0" fontId="17" fillId="0" borderId="8" xfId="0" applyFont="1" applyBorder="1"/>
    <xf numFmtId="0" fontId="18" fillId="0" borderId="8" xfId="0" applyFont="1" applyBorder="1"/>
    <xf numFmtId="0" fontId="16" fillId="0" borderId="8" xfId="0" applyFont="1" applyBorder="1" applyAlignment="1">
      <alignment horizontal="right"/>
    </xf>
    <xf numFmtId="0" fontId="10" fillId="0" borderId="8" xfId="0" applyFont="1" applyBorder="1" applyAlignment="1">
      <alignment horizontal="center"/>
    </xf>
    <xf numFmtId="1" fontId="32" fillId="0" borderId="38" xfId="0" applyNumberFormat="1" applyFont="1" applyBorder="1" applyAlignment="1">
      <alignment horizontal="left"/>
    </xf>
    <xf numFmtId="0" fontId="55" fillId="0" borderId="41" xfId="0" applyFont="1" applyBorder="1" applyAlignment="1">
      <alignment horizontal="center"/>
    </xf>
    <xf numFmtId="0" fontId="7" fillId="29" borderId="17" xfId="0" applyFont="1" applyFill="1" applyBorder="1" applyAlignment="1" applyProtection="1">
      <alignment horizontal="center"/>
      <protection locked="0"/>
    </xf>
    <xf numFmtId="0" fontId="7" fillId="29" borderId="42" xfId="0" applyFont="1" applyFill="1" applyBorder="1" applyAlignment="1" applyProtection="1">
      <alignment horizontal="center"/>
      <protection locked="0"/>
    </xf>
    <xf numFmtId="0" fontId="7" fillId="29" borderId="35" xfId="0" applyFont="1" applyFill="1" applyBorder="1" applyAlignment="1" applyProtection="1">
      <alignment horizontal="center"/>
      <protection locked="0"/>
    </xf>
    <xf numFmtId="0" fontId="0" fillId="13" borderId="0" xfId="0" applyFill="1"/>
    <xf numFmtId="2" fontId="19" fillId="0" borderId="8" xfId="0" applyNumberFormat="1" applyFont="1" applyBorder="1" applyAlignment="1">
      <alignment horizontal="center"/>
    </xf>
    <xf numFmtId="0" fontId="19" fillId="0" borderId="8" xfId="0" applyFont="1" applyBorder="1" applyAlignment="1">
      <alignment horizontal="right"/>
    </xf>
    <xf numFmtId="2" fontId="20" fillId="0" borderId="8" xfId="0" applyNumberFormat="1" applyFont="1" applyBorder="1" applyAlignment="1">
      <alignment horizontal="right"/>
    </xf>
    <xf numFmtId="0" fontId="19" fillId="0" borderId="8" xfId="0" applyFont="1" applyBorder="1" applyAlignment="1">
      <alignment horizontal="center"/>
    </xf>
    <xf numFmtId="0" fontId="20" fillId="0" borderId="8" xfId="0" applyFont="1" applyBorder="1" applyAlignment="1">
      <alignment horizontal="right"/>
    </xf>
    <xf numFmtId="1" fontId="19" fillId="0" borderId="8" xfId="0" applyNumberFormat="1" applyFont="1" applyBorder="1" applyAlignment="1">
      <alignment horizontal="center"/>
    </xf>
    <xf numFmtId="1" fontId="20" fillId="0" borderId="8" xfId="0" applyNumberFormat="1" applyFont="1" applyBorder="1" applyAlignment="1">
      <alignment horizontal="right"/>
    </xf>
    <xf numFmtId="1" fontId="19" fillId="0" borderId="8" xfId="0" applyNumberFormat="1" applyFont="1" applyBorder="1" applyAlignment="1">
      <alignment horizontal="right"/>
    </xf>
    <xf numFmtId="0" fontId="21" fillId="0" borderId="8" xfId="0" applyFont="1" applyBorder="1"/>
    <xf numFmtId="1" fontId="21" fillId="0" borderId="8" xfId="0" applyNumberFormat="1" applyFont="1" applyBorder="1" applyAlignment="1">
      <alignment horizontal="center"/>
    </xf>
    <xf numFmtId="1" fontId="8" fillId="0" borderId="8" xfId="0" applyNumberFormat="1" applyFont="1" applyBorder="1" applyAlignment="1">
      <alignment horizontal="center"/>
    </xf>
    <xf numFmtId="2" fontId="32" fillId="0" borderId="8" xfId="0" applyNumberFormat="1" applyFont="1" applyBorder="1" applyAlignment="1">
      <alignment horizontal="right"/>
    </xf>
    <xf numFmtId="0" fontId="32" fillId="0" borderId="8" xfId="0" applyFont="1" applyBorder="1"/>
    <xf numFmtId="1" fontId="32" fillId="0" borderId="8" xfId="0" applyNumberFormat="1" applyFont="1" applyBorder="1" applyAlignment="1">
      <alignment horizontal="center"/>
    </xf>
    <xf numFmtId="0" fontId="7" fillId="0" borderId="33" xfId="0" applyFont="1" applyBorder="1"/>
    <xf numFmtId="0" fontId="7" fillId="0" borderId="32" xfId="0" applyFont="1" applyBorder="1"/>
    <xf numFmtId="0" fontId="7" fillId="0" borderId="34" xfId="0" applyFont="1" applyBorder="1"/>
    <xf numFmtId="0" fontId="7" fillId="0" borderId="31" xfId="0" applyFont="1" applyBorder="1" applyAlignment="1">
      <alignment horizontal="center"/>
    </xf>
    <xf numFmtId="0" fontId="59" fillId="13" borderId="8" xfId="0" applyFont="1" applyFill="1" applyBorder="1"/>
    <xf numFmtId="0" fontId="8" fillId="13" borderId="35" xfId="0" applyFont="1" applyFill="1" applyBorder="1"/>
    <xf numFmtId="0" fontId="8" fillId="29" borderId="35" xfId="0" applyFont="1" applyFill="1" applyBorder="1"/>
    <xf numFmtId="0" fontId="7" fillId="0" borderId="48" xfId="0" applyFont="1" applyBorder="1"/>
    <xf numFmtId="0" fontId="7" fillId="0" borderId="41" xfId="0" applyFont="1" applyBorder="1"/>
    <xf numFmtId="0" fontId="7" fillId="0" borderId="52" xfId="0" applyFont="1" applyBorder="1" applyAlignment="1">
      <alignment horizontal="center"/>
    </xf>
    <xf numFmtId="0" fontId="7" fillId="0" borderId="37" xfId="0" applyFont="1" applyBorder="1" applyAlignment="1">
      <alignment horizontal="left"/>
    </xf>
    <xf numFmtId="0" fontId="7" fillId="0" borderId="41" xfId="0" applyFont="1" applyBorder="1" applyAlignment="1">
      <alignment horizontal="left"/>
    </xf>
    <xf numFmtId="0" fontId="7" fillId="0" borderId="49" xfId="0" applyFont="1" applyBorder="1" applyAlignment="1">
      <alignment horizontal="left"/>
    </xf>
    <xf numFmtId="0" fontId="7" fillId="0" borderId="45" xfId="0" applyFont="1" applyBorder="1" applyAlignment="1">
      <alignment horizontal="left" vertical="center"/>
    </xf>
    <xf numFmtId="0" fontId="7" fillId="0" borderId="43" xfId="0" applyFont="1" applyBorder="1"/>
    <xf numFmtId="0" fontId="7" fillId="0" borderId="40" xfId="0" applyFont="1" applyBorder="1"/>
    <xf numFmtId="0" fontId="7" fillId="0" borderId="30" xfId="0" applyFont="1" applyBorder="1" applyAlignment="1">
      <alignment horizontal="left" vertical="center"/>
    </xf>
    <xf numFmtId="0" fontId="7" fillId="0" borderId="51" xfId="0" applyFont="1" applyBorder="1" applyAlignment="1">
      <alignment horizontal="left" vertical="top" wrapText="1"/>
    </xf>
    <xf numFmtId="0" fontId="7" fillId="0" borderId="51" xfId="0" applyFont="1" applyBorder="1" applyAlignment="1">
      <alignment horizontal="left" vertical="center" wrapText="1"/>
    </xf>
    <xf numFmtId="0" fontId="7" fillId="0" borderId="52" xfId="0" applyFont="1" applyBorder="1" applyAlignment="1">
      <alignment horizontal="left" vertical="center" wrapText="1"/>
    </xf>
    <xf numFmtId="0" fontId="5" fillId="0" borderId="8" xfId="2" applyFont="1"/>
    <xf numFmtId="0" fontId="4" fillId="0" borderId="0" xfId="0" applyFont="1"/>
    <xf numFmtId="1" fontId="35" fillId="0" borderId="8" xfId="0" applyNumberFormat="1" applyFont="1" applyBorder="1"/>
    <xf numFmtId="0" fontId="56" fillId="0" borderId="8" xfId="0" applyFont="1" applyBorder="1"/>
    <xf numFmtId="0" fontId="48" fillId="0" borderId="30" xfId="0" applyFont="1" applyBorder="1" applyAlignment="1">
      <alignment horizontal="left"/>
    </xf>
    <xf numFmtId="0" fontId="51" fillId="0" borderId="30" xfId="0" applyFont="1" applyBorder="1" applyAlignment="1">
      <alignment horizontal="center"/>
    </xf>
    <xf numFmtId="0" fontId="19" fillId="0" borderId="30" xfId="0" applyFont="1" applyBorder="1" applyAlignment="1">
      <alignment vertical="top"/>
    </xf>
    <xf numFmtId="1" fontId="19" fillId="0" borderId="8" xfId="0" applyNumberFormat="1" applyFont="1" applyBorder="1"/>
    <xf numFmtId="0" fontId="47" fillId="0" borderId="8" xfId="0" applyFont="1" applyBorder="1"/>
    <xf numFmtId="0" fontId="19" fillId="0" borderId="8" xfId="0" applyFont="1" applyBorder="1" applyAlignment="1">
      <alignment vertical="top"/>
    </xf>
    <xf numFmtId="0" fontId="19" fillId="0" borderId="30" xfId="0" applyFont="1" applyBorder="1"/>
    <xf numFmtId="0" fontId="49" fillId="0" borderId="30" xfId="0" applyFont="1" applyBorder="1"/>
    <xf numFmtId="0" fontId="50" fillId="0" borderId="30" xfId="0" applyFont="1" applyBorder="1"/>
    <xf numFmtId="0" fontId="15" fillId="0" borderId="8" xfId="0" applyFont="1" applyBorder="1" applyAlignment="1">
      <alignment vertical="center"/>
    </xf>
    <xf numFmtId="2" fontId="21" fillId="0" borderId="30" xfId="0" applyNumberFormat="1" applyFont="1" applyBorder="1"/>
    <xf numFmtId="1" fontId="32" fillId="0" borderId="8" xfId="0" applyNumberFormat="1" applyFont="1" applyBorder="1" applyAlignment="1">
      <alignment horizontal="right"/>
    </xf>
    <xf numFmtId="1" fontId="32" fillId="0" borderId="8" xfId="0" applyNumberFormat="1" applyFont="1" applyBorder="1"/>
    <xf numFmtId="0" fontId="7" fillId="11" borderId="27" xfId="0" applyFont="1" applyFill="1" applyBorder="1"/>
    <xf numFmtId="0" fontId="7" fillId="11" borderId="28" xfId="0" applyFont="1" applyFill="1" applyBorder="1"/>
    <xf numFmtId="0" fontId="7" fillId="11" borderId="29" xfId="0" applyFont="1" applyFill="1" applyBorder="1"/>
    <xf numFmtId="0" fontId="7" fillId="11" borderId="30" xfId="0" applyFont="1" applyFill="1" applyBorder="1"/>
    <xf numFmtId="0" fontId="7" fillId="11" borderId="31" xfId="0" applyFont="1" applyFill="1" applyBorder="1"/>
    <xf numFmtId="0" fontId="8" fillId="11" borderId="30" xfId="0" applyFont="1" applyFill="1" applyBorder="1"/>
    <xf numFmtId="1" fontId="8" fillId="30" borderId="53" xfId="0" applyNumberFormat="1" applyFont="1" applyFill="1" applyBorder="1" applyAlignment="1" applyProtection="1">
      <alignment horizontal="center" vertical="center"/>
      <protection locked="0"/>
    </xf>
    <xf numFmtId="0" fontId="8" fillId="11" borderId="31" xfId="0" applyFont="1" applyFill="1" applyBorder="1"/>
    <xf numFmtId="165" fontId="7" fillId="14" borderId="54" xfId="0" applyNumberFormat="1" applyFont="1" applyFill="1" applyBorder="1" applyAlignment="1">
      <alignment horizontal="center" vertical="center"/>
    </xf>
    <xf numFmtId="0" fontId="13" fillId="11" borderId="8" xfId="0" applyFont="1" applyFill="1" applyBorder="1"/>
    <xf numFmtId="0" fontId="7" fillId="11" borderId="32" xfId="0" applyFont="1" applyFill="1" applyBorder="1"/>
    <xf numFmtId="0" fontId="7" fillId="11" borderId="33" xfId="0" applyFont="1" applyFill="1" applyBorder="1"/>
    <xf numFmtId="0" fontId="7" fillId="11" borderId="34" xfId="0" applyFont="1" applyFill="1" applyBorder="1"/>
    <xf numFmtId="0" fontId="7" fillId="0" borderId="46" xfId="0" applyFont="1" applyBorder="1" applyAlignment="1">
      <alignment horizontal="left" vertical="center"/>
    </xf>
    <xf numFmtId="0" fontId="7" fillId="0" borderId="55" xfId="0" applyFont="1" applyBorder="1" applyAlignment="1">
      <alignment horizontal="left" vertical="center"/>
    </xf>
    <xf numFmtId="0" fontId="7" fillId="0" borderId="8" xfId="0" applyFont="1" applyBorder="1" applyAlignment="1">
      <alignment horizontal="left" vertical="center"/>
    </xf>
    <xf numFmtId="0" fontId="7" fillId="0" borderId="43" xfId="0" applyFont="1" applyBorder="1" applyAlignment="1">
      <alignment horizontal="left" vertical="center"/>
    </xf>
    <xf numFmtId="0" fontId="7" fillId="0" borderId="40" xfId="0" applyFont="1" applyBorder="1" applyAlignment="1">
      <alignment horizontal="left" vertical="center"/>
    </xf>
    <xf numFmtId="0" fontId="7" fillId="0" borderId="57" xfId="0" applyFont="1" applyBorder="1" applyAlignment="1">
      <alignment horizontal="left" vertical="center"/>
    </xf>
    <xf numFmtId="0" fontId="7" fillId="0" borderId="46" xfId="0" applyFont="1" applyBorder="1" applyAlignment="1">
      <alignment horizontal="left" vertical="center" wrapText="1"/>
    </xf>
    <xf numFmtId="0" fontId="7" fillId="0" borderId="47" xfId="0" applyFont="1" applyBorder="1" applyAlignment="1">
      <alignment horizontal="left" vertical="center" wrapText="1"/>
    </xf>
    <xf numFmtId="0" fontId="7" fillId="0" borderId="8" xfId="0" applyFont="1" applyBorder="1" applyAlignment="1">
      <alignment horizontal="left" vertical="center" wrapText="1"/>
    </xf>
    <xf numFmtId="0" fontId="7" fillId="0" borderId="31" xfId="0" applyFont="1" applyBorder="1" applyAlignment="1">
      <alignment horizontal="left" vertical="center" wrapText="1"/>
    </xf>
    <xf numFmtId="0" fontId="7" fillId="0" borderId="50" xfId="0" applyFont="1" applyBorder="1" applyAlignment="1">
      <alignment horizontal="left" vertical="center" wrapText="1"/>
    </xf>
    <xf numFmtId="0" fontId="7" fillId="0" borderId="40" xfId="0" applyFont="1" applyBorder="1" applyAlignment="1">
      <alignment horizontal="left" vertical="center" wrapText="1"/>
    </xf>
    <xf numFmtId="0" fontId="7" fillId="0" borderId="44" xfId="0" applyFont="1" applyBorder="1" applyAlignment="1">
      <alignment horizontal="left" vertical="center" wrapText="1"/>
    </xf>
    <xf numFmtId="0" fontId="7" fillId="0" borderId="56" xfId="0" applyFont="1" applyBorder="1" applyAlignment="1">
      <alignment horizontal="left" vertical="center"/>
    </xf>
    <xf numFmtId="0" fontId="7" fillId="0" borderId="46" xfId="0" applyFont="1" applyBorder="1" applyAlignment="1">
      <alignment horizontal="left" vertical="top" wrapText="1"/>
    </xf>
    <xf numFmtId="0" fontId="7" fillId="0" borderId="47" xfId="0" applyFont="1" applyBorder="1" applyAlignment="1">
      <alignment horizontal="left" vertical="top" wrapText="1"/>
    </xf>
    <xf numFmtId="0" fontId="7" fillId="0" borderId="50" xfId="0" applyFont="1" applyBorder="1" applyAlignment="1">
      <alignment horizontal="left" vertical="top" wrapText="1"/>
    </xf>
    <xf numFmtId="0" fontId="7" fillId="0" borderId="40" xfId="0" applyFont="1" applyBorder="1" applyAlignment="1">
      <alignment horizontal="left" vertical="top" wrapText="1"/>
    </xf>
    <xf numFmtId="0" fontId="7" fillId="0" borderId="44" xfId="0" applyFont="1" applyBorder="1" applyAlignment="1">
      <alignment horizontal="left" vertical="top" wrapText="1"/>
    </xf>
    <xf numFmtId="0" fontId="35" fillId="29" borderId="8" xfId="0" applyFont="1" applyFill="1" applyBorder="1"/>
    <xf numFmtId="0" fontId="58" fillId="0" borderId="8" xfId="0" applyFont="1" applyBorder="1"/>
    <xf numFmtId="0" fontId="58" fillId="0" borderId="31" xfId="0" applyFont="1" applyBorder="1"/>
    <xf numFmtId="0" fontId="7" fillId="0" borderId="31" xfId="0" applyFont="1" applyBorder="1"/>
    <xf numFmtId="0" fontId="7" fillId="0" borderId="50" xfId="0" applyFont="1" applyBorder="1"/>
    <xf numFmtId="0" fontId="7" fillId="2" borderId="27" xfId="0" applyFont="1" applyFill="1" applyBorder="1"/>
    <xf numFmtId="0" fontId="8" fillId="0" borderId="30" xfId="0" applyFont="1" applyBorder="1" applyAlignment="1">
      <alignment vertical="center" wrapText="1"/>
    </xf>
    <xf numFmtId="0" fontId="58" fillId="0" borderId="30" xfId="0" applyFont="1" applyBorder="1"/>
    <xf numFmtId="0" fontId="7" fillId="0" borderId="44" xfId="0" applyFont="1" applyBorder="1"/>
    <xf numFmtId="0" fontId="65" fillId="0" borderId="8" xfId="0" applyFont="1" applyBorder="1"/>
    <xf numFmtId="0" fontId="62" fillId="0" borderId="8" xfId="0" applyFont="1" applyBorder="1" applyAlignment="1">
      <alignment horizontal="right"/>
    </xf>
    <xf numFmtId="0" fontId="19" fillId="0" borderId="31" xfId="0" applyFont="1" applyBorder="1"/>
    <xf numFmtId="0" fontId="64" fillId="0" borderId="29" xfId="0" applyFont="1" applyBorder="1"/>
    <xf numFmtId="0" fontId="60" fillId="0" borderId="30" xfId="0" applyFont="1" applyBorder="1" applyAlignment="1">
      <alignment vertical="top"/>
    </xf>
    <xf numFmtId="0" fontId="19" fillId="0" borderId="32" xfId="0" applyFont="1" applyBorder="1"/>
    <xf numFmtId="0" fontId="19" fillId="0" borderId="33" xfId="0" applyFont="1" applyBorder="1"/>
    <xf numFmtId="1" fontId="19" fillId="0" borderId="33" xfId="0" applyNumberFormat="1" applyFont="1" applyBorder="1" applyAlignment="1">
      <alignment horizontal="center"/>
    </xf>
    <xf numFmtId="0" fontId="19" fillId="0" borderId="34" xfId="0" applyFont="1" applyBorder="1"/>
    <xf numFmtId="0" fontId="64" fillId="0" borderId="28" xfId="0" applyFont="1" applyBorder="1"/>
    <xf numFmtId="0" fontId="65" fillId="0" borderId="29" xfId="0" applyFont="1" applyBorder="1"/>
    <xf numFmtId="0" fontId="8" fillId="29" borderId="35" xfId="0" applyFont="1" applyFill="1" applyBorder="1" applyAlignment="1" applyProtection="1">
      <alignment horizontal="center"/>
      <protection locked="0"/>
    </xf>
    <xf numFmtId="0" fontId="3" fillId="0" borderId="8" xfId="2" applyFont="1"/>
    <xf numFmtId="0" fontId="35" fillId="0" borderId="8" xfId="2" applyFont="1" applyAlignment="1">
      <alignment horizontal="left"/>
    </xf>
    <xf numFmtId="0" fontId="29" fillId="16" borderId="30" xfId="0" applyFont="1" applyFill="1" applyBorder="1" applyAlignment="1">
      <alignment horizontal="center" vertical="center" wrapText="1"/>
    </xf>
    <xf numFmtId="0" fontId="29" fillId="16" borderId="8" xfId="0" applyFont="1" applyFill="1" applyBorder="1" applyAlignment="1">
      <alignment horizontal="center" vertical="center"/>
    </xf>
    <xf numFmtId="0" fontId="28" fillId="16" borderId="8" xfId="0" applyFont="1" applyFill="1" applyBorder="1" applyAlignment="1">
      <alignment horizontal="center" vertical="center"/>
    </xf>
    <xf numFmtId="0" fontId="28" fillId="16" borderId="30" xfId="0" applyFont="1" applyFill="1" applyBorder="1" applyAlignment="1">
      <alignment horizontal="center" vertical="center"/>
    </xf>
    <xf numFmtId="0" fontId="57" fillId="13" borderId="8" xfId="5" applyFill="1" applyBorder="1" applyAlignment="1">
      <alignment horizontal="center"/>
    </xf>
    <xf numFmtId="0" fontId="11" fillId="15" borderId="8" xfId="0" applyFont="1" applyFill="1" applyBorder="1" applyAlignment="1">
      <alignment horizontal="center"/>
    </xf>
    <xf numFmtId="0" fontId="10" fillId="13" borderId="8" xfId="0" applyFont="1" applyFill="1" applyBorder="1"/>
    <xf numFmtId="0" fontId="58" fillId="13" borderId="8" xfId="0" applyFont="1" applyFill="1" applyBorder="1" applyAlignment="1">
      <alignment horizontal="center"/>
    </xf>
    <xf numFmtId="0" fontId="30" fillId="13" borderId="8" xfId="0" applyFont="1" applyFill="1" applyBorder="1"/>
    <xf numFmtId="0" fontId="7" fillId="13" borderId="8" xfId="0" applyFont="1" applyFill="1" applyBorder="1" applyAlignment="1">
      <alignment horizontal="center" vertical="top" wrapText="1"/>
    </xf>
    <xf numFmtId="0" fontId="0" fillId="13" borderId="8" xfId="0" applyFill="1" applyBorder="1"/>
    <xf numFmtId="0" fontId="8" fillId="13" borderId="8" xfId="0" applyFont="1" applyFill="1" applyBorder="1" applyAlignment="1">
      <alignment horizontal="center"/>
    </xf>
    <xf numFmtId="0" fontId="7" fillId="0" borderId="30" xfId="0" applyFont="1" applyBorder="1" applyAlignment="1">
      <alignment horizontal="left" vertical="center"/>
    </xf>
    <xf numFmtId="0" fontId="7" fillId="0" borderId="8" xfId="0" applyFont="1" applyBorder="1" applyAlignment="1">
      <alignment horizontal="left" vertical="center"/>
    </xf>
    <xf numFmtId="0" fontId="7" fillId="0" borderId="8" xfId="0" applyFont="1" applyBorder="1" applyAlignment="1">
      <alignment horizontal="left" wrapText="1"/>
    </xf>
    <xf numFmtId="0" fontId="7" fillId="0" borderId="31" xfId="0" applyFont="1" applyBorder="1" applyAlignment="1">
      <alignment horizontal="left" wrapText="1"/>
    </xf>
    <xf numFmtId="0" fontId="7" fillId="0" borderId="45" xfId="0" applyFont="1" applyBorder="1" applyAlignment="1">
      <alignment horizontal="left" vertical="center"/>
    </xf>
    <xf numFmtId="0" fontId="7" fillId="0" borderId="46" xfId="0" applyFont="1" applyBorder="1" applyAlignment="1">
      <alignment horizontal="left" vertical="center"/>
    </xf>
    <xf numFmtId="0" fontId="7" fillId="0" borderId="55" xfId="0" applyFont="1" applyBorder="1" applyAlignment="1">
      <alignment horizontal="left" vertical="center"/>
    </xf>
    <xf numFmtId="0" fontId="7" fillId="0" borderId="43" xfId="0" applyFont="1" applyBorder="1" applyAlignment="1">
      <alignment horizontal="left" vertical="center"/>
    </xf>
    <xf numFmtId="0" fontId="7" fillId="0" borderId="40" xfId="0" applyFont="1" applyBorder="1" applyAlignment="1">
      <alignment horizontal="left" vertical="center"/>
    </xf>
    <xf numFmtId="0" fontId="7" fillId="0" borderId="57" xfId="0" applyFont="1" applyBorder="1" applyAlignment="1">
      <alignment horizontal="left" vertical="center"/>
    </xf>
    <xf numFmtId="0" fontId="7" fillId="0" borderId="51" xfId="0" applyFont="1" applyBorder="1" applyAlignment="1">
      <alignment horizontal="left" wrapText="1"/>
    </xf>
    <xf numFmtId="0" fontId="7" fillId="0" borderId="46" xfId="0" applyFont="1" applyBorder="1" applyAlignment="1">
      <alignment horizontal="left" wrapText="1"/>
    </xf>
    <xf numFmtId="0" fontId="7" fillId="0" borderId="47" xfId="0" applyFont="1" applyBorder="1" applyAlignment="1">
      <alignment horizontal="left" wrapText="1"/>
    </xf>
    <xf numFmtId="0" fontId="7" fillId="0" borderId="50" xfId="0" applyFont="1" applyBorder="1" applyAlignment="1">
      <alignment horizontal="left" wrapText="1"/>
    </xf>
    <xf numFmtId="0" fontId="7" fillId="0" borderId="40" xfId="0" applyFont="1" applyBorder="1" applyAlignment="1">
      <alignment horizontal="left" wrapText="1"/>
    </xf>
    <xf numFmtId="0" fontId="7" fillId="0" borderId="44" xfId="0" applyFont="1" applyBorder="1" applyAlignment="1">
      <alignment horizontal="left" wrapText="1"/>
    </xf>
    <xf numFmtId="0" fontId="7" fillId="13" borderId="8" xfId="0" applyFont="1" applyFill="1" applyBorder="1" applyAlignment="1">
      <alignment horizontal="center"/>
    </xf>
    <xf numFmtId="0" fontId="35" fillId="29" borderId="8" xfId="0" applyFont="1" applyFill="1" applyBorder="1" applyAlignment="1">
      <alignment horizontal="center"/>
    </xf>
    <xf numFmtId="0" fontId="58" fillId="13" borderId="30" xfId="0" applyFont="1" applyFill="1" applyBorder="1" applyAlignment="1">
      <alignment horizontal="center"/>
    </xf>
    <xf numFmtId="0" fontId="30" fillId="13" borderId="31" xfId="0" applyFont="1" applyFill="1" applyBorder="1"/>
    <xf numFmtId="0" fontId="7" fillId="13" borderId="30" xfId="0" applyFont="1" applyFill="1" applyBorder="1" applyAlignment="1">
      <alignment horizontal="center" vertical="top" wrapText="1"/>
    </xf>
    <xf numFmtId="0" fontId="0" fillId="13" borderId="8" xfId="0" applyFill="1" applyBorder="1" applyAlignment="1">
      <alignment horizontal="center"/>
    </xf>
    <xf numFmtId="0" fontId="0" fillId="13" borderId="31" xfId="0" applyFill="1" applyBorder="1" applyAlignment="1">
      <alignment horizontal="center"/>
    </xf>
    <xf numFmtId="0" fontId="0" fillId="13" borderId="30" xfId="0" applyFill="1" applyBorder="1" applyAlignment="1">
      <alignment horizontal="center"/>
    </xf>
    <xf numFmtId="0" fontId="11" fillId="12" borderId="8" xfId="0" applyFont="1" applyFill="1" applyBorder="1" applyAlignment="1">
      <alignment horizontal="center"/>
    </xf>
    <xf numFmtId="0" fontId="14" fillId="11" borderId="8" xfId="0" applyFont="1" applyFill="1" applyBorder="1" applyAlignment="1">
      <alignment horizontal="center"/>
    </xf>
    <xf numFmtId="0" fontId="10" fillId="13" borderId="31" xfId="0" applyFont="1" applyFill="1" applyBorder="1"/>
    <xf numFmtId="0" fontId="10" fillId="0" borderId="7" xfId="0" applyFont="1" applyBorder="1"/>
    <xf numFmtId="0" fontId="10" fillId="0" borderId="8" xfId="0" applyFont="1" applyBorder="1"/>
    <xf numFmtId="0" fontId="11" fillId="5" borderId="6" xfId="0" applyFont="1" applyFill="1" applyBorder="1" applyAlignment="1">
      <alignment horizontal="center"/>
    </xf>
    <xf numFmtId="0" fontId="6" fillId="0" borderId="8" xfId="2"/>
    <xf numFmtId="0" fontId="6" fillId="0" borderId="8" xfId="2" applyAlignment="1">
      <alignment horizontal="left"/>
    </xf>
    <xf numFmtId="0" fontId="15" fillId="20" borderId="8" xfId="0" applyFont="1" applyFill="1" applyBorder="1" applyAlignment="1">
      <alignment horizontal="center" vertical="center"/>
    </xf>
    <xf numFmtId="0" fontId="31" fillId="20" borderId="8" xfId="0" applyFont="1" applyFill="1" applyBorder="1" applyAlignment="1">
      <alignment horizontal="center" vertical="center" wrapText="1"/>
    </xf>
    <xf numFmtId="0" fontId="31" fillId="20" borderId="8" xfId="0" applyFont="1" applyFill="1" applyBorder="1" applyAlignment="1">
      <alignment horizontal="center" vertical="center"/>
    </xf>
    <xf numFmtId="1" fontId="32" fillId="0" borderId="8" xfId="0" applyNumberFormat="1" applyFont="1" applyBorder="1" applyAlignment="1">
      <alignment horizontal="center"/>
    </xf>
    <xf numFmtId="0" fontId="32" fillId="0" borderId="8" xfId="0" applyFont="1" applyBorder="1" applyAlignment="1">
      <alignment horizontal="center"/>
    </xf>
    <xf numFmtId="0" fontId="15" fillId="0" borderId="28" xfId="0" applyFont="1" applyBorder="1" applyAlignment="1">
      <alignment horizontal="center"/>
    </xf>
    <xf numFmtId="0" fontId="10" fillId="0" borderId="28" xfId="0" applyFont="1" applyBorder="1"/>
    <xf numFmtId="0" fontId="62" fillId="0" borderId="27" xfId="0" applyFont="1" applyBorder="1" applyAlignment="1">
      <alignment horizontal="left"/>
    </xf>
    <xf numFmtId="0" fontId="63" fillId="0" borderId="28" xfId="0" applyFont="1" applyBorder="1"/>
    <xf numFmtId="0" fontId="2" fillId="0" borderId="8" xfId="0" applyFont="1" applyBorder="1" applyAlignment="1">
      <alignment horizontal="center" vertical="center"/>
    </xf>
    <xf numFmtId="0" fontId="0" fillId="0" borderId="8" xfId="0" applyBorder="1" applyAlignment="1">
      <alignment horizontal="center" vertical="center"/>
    </xf>
    <xf numFmtId="0" fontId="7" fillId="0" borderId="30" xfId="0" applyFont="1" applyBorder="1" applyAlignment="1">
      <alignment horizontal="center" wrapText="1"/>
    </xf>
    <xf numFmtId="0" fontId="7" fillId="0" borderId="8" xfId="0" applyFont="1" applyBorder="1" applyAlignment="1">
      <alignment horizontal="center" wrapText="1"/>
    </xf>
    <xf numFmtId="0" fontId="7" fillId="0" borderId="46" xfId="0" applyFont="1" applyBorder="1" applyAlignment="1">
      <alignment horizontal="center" vertical="center" wrapText="1"/>
    </xf>
    <xf numFmtId="0" fontId="7" fillId="0" borderId="8" xfId="0" applyFont="1" applyBorder="1" applyAlignment="1">
      <alignment horizontal="center" vertical="center" wrapText="1"/>
    </xf>
    <xf numFmtId="0" fontId="31" fillId="28" borderId="8" xfId="0" applyFont="1" applyFill="1" applyBorder="1" applyAlignment="1">
      <alignment horizontal="center" vertical="center"/>
    </xf>
    <xf numFmtId="1" fontId="53" fillId="0" borderId="8" xfId="0" applyNumberFormat="1" applyFont="1" applyBorder="1" applyAlignment="1">
      <alignment horizontal="center"/>
    </xf>
    <xf numFmtId="0" fontId="51" fillId="0" borderId="30" xfId="0" applyFont="1" applyBorder="1" applyAlignment="1">
      <alignment horizontal="center"/>
    </xf>
    <xf numFmtId="0" fontId="10" fillId="0" borderId="8" xfId="0" applyFont="1" applyBorder="1" applyAlignment="1">
      <alignment horizontal="center"/>
    </xf>
    <xf numFmtId="0" fontId="31" fillId="28" borderId="30" xfId="0" applyFont="1" applyFill="1" applyBorder="1" applyAlignment="1">
      <alignment horizontal="center" vertical="center"/>
    </xf>
    <xf numFmtId="0" fontId="15" fillId="0" borderId="6" xfId="0" applyFont="1" applyBorder="1" applyAlignment="1">
      <alignment horizontal="center"/>
    </xf>
    <xf numFmtId="0" fontId="16" fillId="0" borderId="30" xfId="0" applyFont="1" applyBorder="1" applyAlignment="1">
      <alignment horizontal="left"/>
    </xf>
    <xf numFmtId="0" fontId="16" fillId="0" borderId="8" xfId="0" applyFont="1" applyBorder="1" applyAlignment="1">
      <alignment horizontal="left"/>
    </xf>
    <xf numFmtId="0" fontId="23" fillId="0" borderId="0" xfId="0" applyFont="1" applyAlignment="1">
      <alignment vertical="center" wrapText="1"/>
    </xf>
    <xf numFmtId="0" fontId="0" fillId="0" borderId="0" xfId="0"/>
    <xf numFmtId="0" fontId="8" fillId="0" borderId="0" xfId="0" applyFont="1" applyAlignment="1">
      <alignment horizontal="center"/>
    </xf>
    <xf numFmtId="0" fontId="35" fillId="19" borderId="8" xfId="2" applyFont="1" applyFill="1" applyAlignment="1">
      <alignment horizontal="center"/>
    </xf>
    <xf numFmtId="0" fontId="35" fillId="19" borderId="31" xfId="2" applyFont="1" applyFill="1" applyBorder="1" applyAlignment="1">
      <alignment horizontal="center"/>
    </xf>
    <xf numFmtId="0" fontId="35" fillId="0" borderId="27" xfId="2" applyFont="1" applyBorder="1" applyAlignment="1">
      <alignment horizontal="center"/>
    </xf>
    <xf numFmtId="0" fontId="35" fillId="0" borderId="28" xfId="2" applyFont="1" applyBorder="1" applyAlignment="1">
      <alignment horizontal="center"/>
    </xf>
    <xf numFmtId="0" fontId="35" fillId="0" borderId="29" xfId="2" applyFont="1" applyBorder="1" applyAlignment="1">
      <alignment horizontal="center"/>
    </xf>
    <xf numFmtId="0" fontId="35" fillId="13" borderId="27" xfId="2" applyFont="1" applyFill="1" applyBorder="1" applyAlignment="1">
      <alignment horizontal="center"/>
    </xf>
    <xf numFmtId="0" fontId="35" fillId="13" borderId="28" xfId="2" applyFont="1" applyFill="1" applyBorder="1" applyAlignment="1">
      <alignment horizontal="center"/>
    </xf>
    <xf numFmtId="0" fontId="35" fillId="13" borderId="29" xfId="2" applyFont="1" applyFill="1" applyBorder="1" applyAlignment="1">
      <alignment horizontal="center"/>
    </xf>
    <xf numFmtId="0" fontId="36" fillId="21" borderId="8" xfId="2" applyFont="1" applyFill="1" applyAlignment="1">
      <alignment horizontal="center"/>
    </xf>
    <xf numFmtId="0" fontId="45" fillId="23" borderId="35" xfId="2" applyFont="1" applyFill="1" applyBorder="1" applyAlignment="1">
      <alignment horizontal="center"/>
    </xf>
    <xf numFmtId="0" fontId="45" fillId="26" borderId="35" xfId="2" applyFont="1" applyFill="1" applyBorder="1" applyAlignment="1">
      <alignment horizontal="center"/>
    </xf>
    <xf numFmtId="0" fontId="44" fillId="21" borderId="8" xfId="2" applyFont="1" applyFill="1" applyAlignment="1">
      <alignment horizontal="center" vertical="center" wrapText="1"/>
    </xf>
    <xf numFmtId="0" fontId="6" fillId="19" borderId="29" xfId="2" applyFill="1" applyBorder="1" applyAlignment="1">
      <alignment horizontal="center" vertical="center"/>
    </xf>
    <xf numFmtId="0" fontId="6" fillId="19" borderId="34" xfId="2" applyFill="1" applyBorder="1" applyAlignment="1">
      <alignment horizontal="center" vertical="center"/>
    </xf>
    <xf numFmtId="0" fontId="6" fillId="26" borderId="37" xfId="2" applyFill="1" applyBorder="1" applyAlignment="1">
      <alignment horizontal="center"/>
    </xf>
    <xf numFmtId="0" fontId="6" fillId="26" borderId="38" xfId="2" applyFill="1" applyBorder="1" applyAlignment="1">
      <alignment horizontal="center"/>
    </xf>
    <xf numFmtId="0" fontId="6" fillId="19" borderId="27" xfId="2" applyFill="1" applyBorder="1" applyAlignment="1">
      <alignment horizontal="center" vertical="center"/>
    </xf>
    <xf numFmtId="0" fontId="6" fillId="19" borderId="28" xfId="2" applyFill="1" applyBorder="1" applyAlignment="1">
      <alignment horizontal="center" vertical="center"/>
    </xf>
    <xf numFmtId="0" fontId="6" fillId="19" borderId="32" xfId="2" applyFill="1" applyBorder="1" applyAlignment="1">
      <alignment horizontal="center" vertical="center"/>
    </xf>
    <xf numFmtId="0" fontId="6" fillId="19" borderId="33" xfId="2" applyFill="1" applyBorder="1" applyAlignment="1">
      <alignment horizontal="center" vertical="center"/>
    </xf>
    <xf numFmtId="168" fontId="35" fillId="19" borderId="28" xfId="4" applyNumberFormat="1" applyFont="1" applyFill="1" applyBorder="1" applyAlignment="1">
      <alignment horizontal="center" vertical="center"/>
    </xf>
    <xf numFmtId="168" fontId="35" fillId="19" borderId="33" xfId="4" applyNumberFormat="1" applyFont="1" applyFill="1" applyBorder="1" applyAlignment="1">
      <alignment horizontal="center" vertical="center"/>
    </xf>
    <xf numFmtId="0" fontId="6" fillId="26" borderId="37" xfId="2" applyFill="1" applyBorder="1" applyAlignment="1">
      <alignment horizontal="left"/>
    </xf>
    <xf numFmtId="0" fontId="6" fillId="26" borderId="38" xfId="2" applyFill="1" applyBorder="1" applyAlignment="1">
      <alignment horizontal="left"/>
    </xf>
    <xf numFmtId="0" fontId="6" fillId="13" borderId="40" xfId="2" applyFill="1" applyBorder="1" applyAlignment="1">
      <alignment horizontal="center"/>
    </xf>
    <xf numFmtId="0" fontId="6" fillId="21" borderId="8" xfId="2" applyFill="1" applyAlignment="1">
      <alignment horizontal="center"/>
    </xf>
    <xf numFmtId="0" fontId="43" fillId="21" borderId="8" xfId="2" applyFont="1" applyFill="1" applyAlignment="1">
      <alignment horizontal="center"/>
    </xf>
    <xf numFmtId="0" fontId="45" fillId="27" borderId="35" xfId="2" applyFont="1" applyFill="1" applyBorder="1" applyAlignment="1">
      <alignment horizontal="center" vertical="center"/>
    </xf>
    <xf numFmtId="0" fontId="45" fillId="22" borderId="35" xfId="2" applyFont="1" applyFill="1" applyBorder="1" applyAlignment="1">
      <alignment horizontal="center" vertical="center"/>
    </xf>
    <xf numFmtId="0" fontId="6" fillId="23" borderId="37" xfId="2" applyFill="1" applyBorder="1" applyAlignment="1">
      <alignment horizontal="left"/>
    </xf>
    <xf numFmtId="0" fontId="6" fillId="23" borderId="38" xfId="2" applyFill="1" applyBorder="1" applyAlignment="1">
      <alignment horizontal="left"/>
    </xf>
    <xf numFmtId="0" fontId="35" fillId="25" borderId="30" xfId="2" applyFont="1" applyFill="1" applyBorder="1" applyAlignment="1">
      <alignment horizontal="center"/>
    </xf>
    <xf numFmtId="0" fontId="35" fillId="25" borderId="31" xfId="2" applyFont="1" applyFill="1" applyBorder="1" applyAlignment="1">
      <alignment horizontal="center"/>
    </xf>
    <xf numFmtId="0" fontId="7" fillId="4" borderId="1" xfId="0" applyFont="1" applyFill="1" applyBorder="1" applyAlignment="1">
      <alignment horizontal="center" vertical="center" textRotation="90" wrapText="1"/>
    </xf>
    <xf numFmtId="0" fontId="10" fillId="0" borderId="2" xfId="0" applyFont="1" applyBorder="1"/>
    <xf numFmtId="0" fontId="10" fillId="0" borderId="4" xfId="0" applyFont="1" applyBorder="1"/>
    <xf numFmtId="0" fontId="10" fillId="0" borderId="5" xfId="0" applyFont="1" applyBorder="1"/>
    <xf numFmtId="0" fontId="10" fillId="0" borderId="9" xfId="0" applyFont="1" applyBorder="1"/>
    <xf numFmtId="0" fontId="10" fillId="0" borderId="11" xfId="0" applyFont="1" applyBorder="1"/>
    <xf numFmtId="0" fontId="10" fillId="0" borderId="25" xfId="0" applyFont="1" applyBorder="1"/>
    <xf numFmtId="0" fontId="10" fillId="0" borderId="26" xfId="0" applyFont="1" applyBorder="1"/>
    <xf numFmtId="0" fontId="7" fillId="4" borderId="1" xfId="0" applyFont="1" applyFill="1" applyBorder="1" applyAlignment="1">
      <alignment horizontal="center" vertical="center" textRotation="90"/>
    </xf>
    <xf numFmtId="0" fontId="6" fillId="31" borderId="35" xfId="2" applyFill="1" applyBorder="1" applyAlignment="1" applyProtection="1">
      <alignment horizontal="center"/>
      <protection locked="0"/>
    </xf>
    <xf numFmtId="0" fontId="6" fillId="31" borderId="35" xfId="2" applyFill="1" applyBorder="1" applyProtection="1">
      <protection locked="0"/>
    </xf>
    <xf numFmtId="0" fontId="6" fillId="31" borderId="35" xfId="2" applyFill="1" applyBorder="1" applyAlignment="1" applyProtection="1">
      <alignment horizontal="left"/>
      <protection locked="0"/>
    </xf>
    <xf numFmtId="0" fontId="42" fillId="31" borderId="35" xfId="2" applyFont="1" applyFill="1" applyBorder="1" applyProtection="1">
      <protection locked="0"/>
    </xf>
    <xf numFmtId="9" fontId="0" fillId="31" borderId="35" xfId="3" applyFont="1" applyFill="1" applyBorder="1" applyProtection="1">
      <protection locked="0"/>
    </xf>
    <xf numFmtId="0" fontId="7" fillId="29" borderId="35" xfId="0" applyFont="1" applyFill="1" applyBorder="1" applyProtection="1">
      <protection locked="0"/>
    </xf>
    <xf numFmtId="49" fontId="8" fillId="30" borderId="17" xfId="0" applyNumberFormat="1" applyFont="1" applyFill="1" applyBorder="1" applyProtection="1">
      <protection locked="0"/>
    </xf>
    <xf numFmtId="165" fontId="7" fillId="30" borderId="17" xfId="0" applyNumberFormat="1" applyFont="1" applyFill="1" applyBorder="1" applyAlignment="1" applyProtection="1">
      <alignment horizontal="center" vertical="center"/>
      <protection locked="0"/>
    </xf>
    <xf numFmtId="165" fontId="0" fillId="29" borderId="35" xfId="0" applyNumberFormat="1" applyFill="1" applyBorder="1" applyProtection="1">
      <protection locked="0"/>
    </xf>
    <xf numFmtId="165" fontId="7" fillId="29" borderId="17" xfId="0" applyNumberFormat="1" applyFont="1" applyFill="1" applyBorder="1" applyAlignment="1" applyProtection="1">
      <alignment horizontal="center"/>
      <protection locked="0"/>
    </xf>
    <xf numFmtId="165" fontId="0" fillId="29" borderId="35" xfId="0" applyNumberFormat="1" applyFill="1" applyBorder="1" applyAlignment="1" applyProtection="1">
      <alignment horizontal="center" vertical="center"/>
      <protection locked="0"/>
    </xf>
    <xf numFmtId="165" fontId="0" fillId="29" borderId="35" xfId="1" applyNumberFormat="1" applyFont="1" applyFill="1" applyBorder="1" applyAlignment="1" applyProtection="1">
      <alignment horizontal="center" vertical="center"/>
      <protection locked="0"/>
    </xf>
    <xf numFmtId="165" fontId="0" fillId="29" borderId="36" xfId="0" applyNumberFormat="1" applyFill="1" applyBorder="1" applyAlignment="1" applyProtection="1">
      <alignment horizontal="center" vertical="center"/>
      <protection locked="0"/>
    </xf>
    <xf numFmtId="0" fontId="7" fillId="0" borderId="15" xfId="0" applyFont="1" applyBorder="1" applyProtection="1"/>
    <xf numFmtId="0" fontId="7" fillId="0" borderId="8" xfId="0" applyFont="1" applyBorder="1" applyProtection="1"/>
    <xf numFmtId="0" fontId="11" fillId="0" borderId="6" xfId="0" applyFont="1" applyBorder="1" applyAlignment="1" applyProtection="1">
      <alignment horizontal="center"/>
    </xf>
    <xf numFmtId="0" fontId="10" fillId="0" borderId="7" xfId="0" applyFont="1" applyBorder="1" applyProtection="1"/>
    <xf numFmtId="0" fontId="10" fillId="0" borderId="8" xfId="0" applyFont="1" applyBorder="1" applyProtection="1"/>
    <xf numFmtId="0" fontId="7" fillId="0" borderId="3" xfId="0" applyFont="1" applyBorder="1" applyProtection="1"/>
    <xf numFmtId="0" fontId="7" fillId="2" borderId="3" xfId="0" applyFont="1" applyFill="1" applyBorder="1" applyProtection="1"/>
    <xf numFmtId="0" fontId="7" fillId="0" borderId="27" xfId="0" applyFont="1" applyBorder="1" applyProtection="1"/>
    <xf numFmtId="0" fontId="7" fillId="0" borderId="28" xfId="0" applyFont="1" applyBorder="1" applyProtection="1"/>
    <xf numFmtId="0" fontId="7" fillId="2" borderId="28" xfId="0" applyFont="1" applyFill="1" applyBorder="1" applyProtection="1"/>
    <xf numFmtId="0" fontId="7" fillId="2" borderId="29" xfId="0" applyFont="1" applyFill="1" applyBorder="1" applyProtection="1"/>
    <xf numFmtId="0" fontId="7" fillId="0" borderId="30" xfId="0" applyFont="1" applyBorder="1" applyProtection="1"/>
    <xf numFmtId="0" fontId="7" fillId="2" borderId="8" xfId="0" applyFont="1" applyFill="1" applyBorder="1" applyProtection="1"/>
    <xf numFmtId="0" fontId="7" fillId="2" borderId="31" xfId="0" applyFont="1" applyFill="1" applyBorder="1" applyProtection="1"/>
    <xf numFmtId="0" fontId="8" fillId="0" borderId="8" xfId="0" applyFont="1" applyBorder="1" applyProtection="1"/>
    <xf numFmtId="0" fontId="8" fillId="0" borderId="8" xfId="0" applyFont="1" applyBorder="1" applyAlignment="1" applyProtection="1">
      <alignment horizontal="center"/>
    </xf>
    <xf numFmtId="0" fontId="7" fillId="0" borderId="8" xfId="0" applyFont="1" applyBorder="1" applyAlignment="1" applyProtection="1">
      <alignment horizontal="right"/>
    </xf>
    <xf numFmtId="0" fontId="7" fillId="13" borderId="30" xfId="0" applyFont="1" applyFill="1" applyBorder="1" applyProtection="1"/>
    <xf numFmtId="0" fontId="56" fillId="13" borderId="8" xfId="0" applyFont="1" applyFill="1" applyBorder="1" applyProtection="1"/>
    <xf numFmtId="0" fontId="56" fillId="13" borderId="8" xfId="0" applyFont="1" applyFill="1" applyBorder="1" applyAlignment="1" applyProtection="1">
      <alignment horizontal="right"/>
    </xf>
    <xf numFmtId="0" fontId="56" fillId="13" borderId="8" xfId="0" applyFont="1" applyFill="1" applyBorder="1" applyAlignment="1" applyProtection="1">
      <alignment horizontal="center"/>
    </xf>
    <xf numFmtId="0" fontId="7" fillId="0" borderId="8" xfId="0" applyFont="1" applyBorder="1" applyAlignment="1" applyProtection="1">
      <alignment horizontal="center"/>
    </xf>
    <xf numFmtId="0" fontId="0" fillId="0" borderId="8" xfId="0" applyBorder="1" applyProtection="1"/>
    <xf numFmtId="0" fontId="7" fillId="0" borderId="17" xfId="0" applyFont="1" applyBorder="1" applyAlignment="1" applyProtection="1">
      <alignment horizontal="center"/>
    </xf>
    <xf numFmtId="0" fontId="7" fillId="0" borderId="25" xfId="0" applyFont="1" applyBorder="1" applyProtection="1"/>
    <xf numFmtId="0" fontId="8" fillId="0" borderId="8" xfId="0" applyFont="1" applyBorder="1" applyAlignment="1" applyProtection="1">
      <alignment horizontal="center"/>
    </xf>
    <xf numFmtId="165" fontId="8" fillId="0" borderId="8" xfId="0" applyNumberFormat="1" applyFont="1" applyBorder="1" applyAlignment="1" applyProtection="1">
      <alignment horizontal="center"/>
    </xf>
    <xf numFmtId="0" fontId="46" fillId="2" borderId="8" xfId="0" applyFont="1" applyFill="1" applyBorder="1" applyProtection="1"/>
    <xf numFmtId="0" fontId="8" fillId="0" borderId="8" xfId="0" applyFont="1" applyBorder="1" applyAlignment="1" applyProtection="1">
      <alignment horizontal="right"/>
    </xf>
    <xf numFmtId="0" fontId="46" fillId="0" borderId="8" xfId="0" applyFont="1" applyBorder="1" applyProtection="1"/>
    <xf numFmtId="0" fontId="7" fillId="13" borderId="8" xfId="0" applyFont="1" applyFill="1" applyBorder="1" applyProtection="1"/>
    <xf numFmtId="0" fontId="34" fillId="0" borderId="8" xfId="0" applyFont="1" applyBorder="1" applyProtection="1"/>
    <xf numFmtId="0" fontId="0" fillId="0" borderId="31" xfId="0" applyBorder="1" applyProtection="1"/>
    <xf numFmtId="0" fontId="7" fillId="2" borderId="30" xfId="0" applyFont="1" applyFill="1" applyBorder="1" applyProtection="1"/>
    <xf numFmtId="0" fontId="7" fillId="2" borderId="32" xfId="0" applyFont="1" applyFill="1" applyBorder="1" applyProtection="1"/>
    <xf numFmtId="0" fontId="7" fillId="2" borderId="33" xfId="0" applyFont="1" applyFill="1" applyBorder="1" applyProtection="1"/>
    <xf numFmtId="0" fontId="7" fillId="2" borderId="34" xfId="0" applyFont="1" applyFill="1" applyBorder="1" applyProtection="1"/>
  </cellXfs>
  <cellStyles count="6">
    <cellStyle name="Comma 2" xfId="4" xr:uid="{07D4FEDC-3BA6-48C6-B0FF-6A056579309D}"/>
    <cellStyle name="Link" xfId="5" builtinId="8"/>
    <cellStyle name="Normal 2" xfId="2" xr:uid="{18883EEC-7B05-4A25-B6AC-0C26C9C6D327}"/>
    <cellStyle name="Percent 2" xfId="3" xr:uid="{8934C002-0327-4462-A329-FA3943A6F69A}"/>
    <cellStyle name="Standard" xfId="0" builtinId="0"/>
    <cellStyle name="Währung" xfId="1" builtinId="4"/>
  </cellStyles>
  <dxfs count="2">
    <dxf>
      <font>
        <color theme="3" tint="0.79998168889431442"/>
      </font>
    </dxf>
    <dxf>
      <font>
        <color theme="3" tint="0.7999816888943144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onnections" Target="connections.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powerPivotData" Target="model/item.data"/><Relationship Id="rId10" Type="http://schemas.openxmlformats.org/officeDocument/2006/relationships/worksheet" Target="worksheets/sheet10.xml"/><Relationship Id="rId19" Type="http://schemas.openxmlformats.org/officeDocument/2006/relationships/worksheet" Target="worksheets/sheet19.xml"/><Relationship Id="rId31"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1.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2.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3.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6.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8.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1"/>
  <c:style val="2"/>
  <c:chart>
    <c:title>
      <c:tx>
        <c:rich>
          <a:bodyPr/>
          <a:lstStyle/>
          <a:p>
            <a:pPr lvl="0">
              <a:defRPr b="0">
                <a:solidFill>
                  <a:srgbClr val="757575"/>
                </a:solidFill>
                <a:latin typeface="+mn-lt"/>
              </a:defRPr>
            </a:pPr>
            <a:r>
              <a:rPr lang="en-ZW" b="0">
                <a:solidFill>
                  <a:srgbClr val="757575"/>
                </a:solidFill>
                <a:latin typeface="+mn-lt"/>
              </a:rPr>
              <a:t>Cooling Curve</a:t>
            </a:r>
          </a:p>
        </c:rich>
      </c:tx>
      <c:overlay val="0"/>
    </c:title>
    <c:autoTitleDeleted val="0"/>
    <c:plotArea>
      <c:layout>
        <c:manualLayout>
          <c:xMode val="edge"/>
          <c:yMode val="edge"/>
          <c:x val="0.14377668248649264"/>
          <c:y val="0.17171296296296296"/>
          <c:w val="0.78316497964669574"/>
          <c:h val="0.62271617089530473"/>
        </c:manualLayout>
      </c:layout>
      <c:scatterChart>
        <c:scatterStyle val="lineMarker"/>
        <c:varyColors val="0"/>
        <c:ser>
          <c:idx val="0"/>
          <c:order val="0"/>
          <c:tx>
            <c:v>Temperature of the product</c:v>
          </c:tx>
          <c:spPr>
            <a:ln>
              <a:noFill/>
            </a:ln>
          </c:spPr>
          <c:marker>
            <c:symbol val="circle"/>
            <c:size val="7"/>
            <c:spPr>
              <a:solidFill>
                <a:schemeClr val="accent1"/>
              </a:solidFill>
              <a:ln cmpd="sng">
                <a:solidFill>
                  <a:schemeClr val="accent1"/>
                </a:solidFill>
              </a:ln>
            </c:spPr>
          </c:marker>
          <c:xVal>
            <c:numRef>
              <c:f>'Calculation Sheet'!$M$90:$M$114</c:f>
              <c:numCache>
                <c:formatCode>General</c:formatCode>
                <c:ptCount val="2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xVal>
          <c:yVal>
            <c:numRef>
              <c:f>'Calculation Sheet'!$N$90:$N$114</c:f>
              <c:numCache>
                <c:formatCode>0.00</c:formatCode>
                <c:ptCount val="25"/>
                <c:pt idx="0" formatCode="0.0">
                  <c:v>25</c:v>
                </c:pt>
                <c:pt idx="1">
                  <c:v>17.13139897252103</c:v>
                </c:pt>
                <c:pt idx="2">
                  <c:v>13.390456753684932</c:v>
                </c:pt>
                <c:pt idx="3">
                  <c:v>11.61191332064038</c:v>
                </c:pt>
                <c:pt idx="4">
                  <c:v>10.766346466573852</c:v>
                </c:pt>
                <c:pt idx="5">
                  <c:v>10.364341493621325</c:v>
                </c:pt>
                <c:pt idx="6">
                  <c:v>10.17321763688386</c:v>
                </c:pt>
                <c:pt idx="7">
                  <c:v>10.082352271846405</c:v>
                </c:pt>
                <c:pt idx="8">
                  <c:v>10.039152460455348</c:v>
                </c:pt>
                <c:pt idx="9">
                  <c:v>10.018614121084196</c:v>
                </c:pt>
                <c:pt idx="10">
                  <c:v>10.008849648264947</c:v>
                </c:pt>
                <c:pt idx="11">
                  <c:v>10.004207358169587</c:v>
                </c:pt>
                <c:pt idx="12">
                  <c:v>10.002000289981842</c:v>
                </c:pt>
                <c:pt idx="13">
                  <c:v>10.000950991061417</c:v>
                </c:pt>
                <c:pt idx="14">
                  <c:v>10.000452126445218</c:v>
                </c:pt>
                <c:pt idx="15">
                  <c:v>10.000214952937792</c:v>
                </c:pt>
                <c:pt idx="16">
                  <c:v>10.000102194343981</c:v>
                </c:pt>
                <c:pt idx="17">
                  <c:v>10.00004858590931</c:v>
                </c:pt>
                <c:pt idx="18">
                  <c:v>10.000023099033582</c:v>
                </c:pt>
                <c:pt idx="19">
                  <c:v>10.000010981894958</c:v>
                </c:pt>
                <c:pt idx="20">
                  <c:v>10.000005221084962</c:v>
                </c:pt>
                <c:pt idx="21">
                  <c:v>10.000002482242662</c:v>
                </c:pt>
                <c:pt idx="22">
                  <c:v>10.000001180124185</c:v>
                </c:pt>
                <c:pt idx="23">
                  <c:v>10.000000561062427</c:v>
                </c:pt>
                <c:pt idx="24">
                  <c:v>10.000000266744001</c:v>
                </c:pt>
              </c:numCache>
            </c:numRef>
          </c:yVal>
          <c:smooth val="1"/>
          <c:extLst>
            <c:ext xmlns:c16="http://schemas.microsoft.com/office/drawing/2014/chart" uri="{C3380CC4-5D6E-409C-BE32-E72D297353CC}">
              <c16:uniqueId val="{00000000-A328-460D-9D13-AD7513DA7D39}"/>
            </c:ext>
          </c:extLst>
        </c:ser>
        <c:dLbls>
          <c:showLegendKey val="0"/>
          <c:showVal val="0"/>
          <c:showCatName val="0"/>
          <c:showSerName val="0"/>
          <c:showPercent val="0"/>
          <c:showBubbleSize val="0"/>
        </c:dLbls>
        <c:axId val="289212424"/>
        <c:axId val="289217128"/>
      </c:scatterChart>
      <c:valAx>
        <c:axId val="289212424"/>
        <c:scaling>
          <c:orientation val="minMax"/>
          <c:max val="24"/>
        </c:scaling>
        <c:delete val="0"/>
        <c:axPos val="b"/>
        <c:majorGridlines>
          <c:spPr>
            <a:ln>
              <a:solidFill>
                <a:srgbClr val="B7B7B7"/>
              </a:solidFill>
            </a:ln>
          </c:spPr>
        </c:majorGridlines>
        <c:title>
          <c:tx>
            <c:rich>
              <a:bodyPr/>
              <a:lstStyle/>
              <a:p>
                <a:pPr lvl="0">
                  <a:defRPr b="0">
                    <a:solidFill>
                      <a:srgbClr val="000000"/>
                    </a:solidFill>
                    <a:latin typeface="+mn-lt"/>
                  </a:defRPr>
                </a:pPr>
                <a:r>
                  <a:rPr lang="en-ZW" b="0">
                    <a:solidFill>
                      <a:srgbClr val="000000"/>
                    </a:solidFill>
                    <a:latin typeface="+mn-lt"/>
                  </a:rPr>
                  <a:t>Time in h</a:t>
                </a:r>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289217128"/>
        <c:crosses val="autoZero"/>
        <c:crossBetween val="midCat"/>
      </c:valAx>
      <c:valAx>
        <c:axId val="28921712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lang="en-ZW" b="0">
                    <a:solidFill>
                      <a:srgbClr val="000000"/>
                    </a:solidFill>
                    <a:latin typeface="+mn-lt"/>
                  </a:rPr>
                  <a:t>Temperature in °C</a:t>
                </a:r>
              </a:p>
            </c:rich>
          </c:tx>
          <c:overlay val="0"/>
        </c:title>
        <c:numFmt formatCode="0.0" sourceLinked="0"/>
        <c:majorTickMark val="none"/>
        <c:minorTickMark val="none"/>
        <c:tickLblPos val="nextTo"/>
        <c:spPr>
          <a:ln/>
        </c:spPr>
        <c:txPr>
          <a:bodyPr/>
          <a:lstStyle/>
          <a:p>
            <a:pPr lvl="0">
              <a:defRPr sz="900" b="0" i="0">
                <a:solidFill>
                  <a:srgbClr val="000000"/>
                </a:solidFill>
                <a:latin typeface="+mn-lt"/>
              </a:defRPr>
            </a:pPr>
            <a:endParaRPr lang="en-US"/>
          </a:p>
        </c:txPr>
        <c:crossAx val="289212424"/>
        <c:crosses val="autoZero"/>
        <c:crossBetween val="midCat"/>
      </c:valAx>
    </c:plotArea>
    <c:legend>
      <c:legendPos val="r"/>
      <c:layout>
        <c:manualLayout>
          <c:xMode val="edge"/>
          <c:yMode val="edge"/>
          <c:x val="0.72692650590140562"/>
          <c:y val="3.0430129423477236E-2"/>
        </c:manualLayout>
      </c:layout>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spPr>
            <a:solidFill>
              <a:srgbClr val="FF0000"/>
            </a:solidFill>
            <a:ln>
              <a:noFill/>
            </a:ln>
            <a:effectLst/>
          </c:spPr>
          <c:invertIfNegative val="0"/>
          <c:dLbls>
            <c:dLbl>
              <c:idx val="0"/>
              <c:tx>
                <c:rich>
                  <a:bodyPr/>
                  <a:lstStyle/>
                  <a:p>
                    <a:fld id="{5B47BF0C-4842-4D9E-85DC-84780015F30D}" type="CELLRANGE">
                      <a:rPr lang="en-US"/>
                      <a:pPr/>
                      <a:t>[ZELLBEREICH]</a:t>
                    </a:fld>
                    <a:endParaRPr lang="de-D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FC7F-4610-9934-17A79F3DFB2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'6 LCA'!$I$14</c:f>
              <c:numCache>
                <c:formatCode>General</c:formatCode>
                <c:ptCount val="1"/>
                <c:pt idx="0">
                  <c:v>5914.9924419583031</c:v>
                </c:pt>
              </c:numCache>
            </c:numRef>
          </c:val>
          <c:extLst>
            <c:ext xmlns:c15="http://schemas.microsoft.com/office/drawing/2012/chart" uri="{02D57815-91ED-43cb-92C2-25804820EDAC}">
              <c15:datalabelsRange>
                <c15:f>'6 LCA'!$J$14</c15:f>
                <c15:dlblRangeCache>
                  <c:ptCount val="1"/>
                  <c:pt idx="0">
                    <c:v>65%</c:v>
                  </c:pt>
                </c15:dlblRangeCache>
              </c15:datalabelsRange>
            </c:ext>
            <c:ext xmlns:c16="http://schemas.microsoft.com/office/drawing/2014/chart" uri="{C3380CC4-5D6E-409C-BE32-E72D297353CC}">
              <c16:uniqueId val="{00000001-FC7F-4610-9934-17A79F3DFB26}"/>
            </c:ext>
          </c:extLst>
        </c:ser>
        <c:ser>
          <c:idx val="1"/>
          <c:order val="1"/>
          <c:spPr>
            <a:solidFill>
              <a:schemeClr val="accent6"/>
            </a:solidFill>
            <a:ln>
              <a:noFill/>
            </a:ln>
            <a:effectLst/>
          </c:spPr>
          <c:invertIfNegative val="0"/>
          <c:dLbls>
            <c:dLbl>
              <c:idx val="0"/>
              <c:tx>
                <c:rich>
                  <a:bodyPr/>
                  <a:lstStyle/>
                  <a:p>
                    <a:fld id="{B7AF3C16-DB4B-4AAE-A2DF-C9194009EEF2}" type="CELLRANGE">
                      <a:rPr lang="en-US"/>
                      <a:pPr/>
                      <a:t>[ZELLBEREICH]</a:t>
                    </a:fld>
                    <a:endParaRPr lang="de-D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FC7F-4610-9934-17A79F3DFB2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'6 LCA'!$I$15</c:f>
              <c:numCache>
                <c:formatCode>0</c:formatCode>
                <c:ptCount val="1"/>
                <c:pt idx="0">
                  <c:v>-3231.991367049608</c:v>
                </c:pt>
              </c:numCache>
            </c:numRef>
          </c:val>
          <c:extLst>
            <c:ext xmlns:c15="http://schemas.microsoft.com/office/drawing/2012/chart" uri="{02D57815-91ED-43cb-92C2-25804820EDAC}">
              <c15:datalabelsRange>
                <c15:f>'6 LCA'!$J$15</c15:f>
                <c15:dlblRangeCache>
                  <c:ptCount val="1"/>
                  <c:pt idx="0">
                    <c:v>-35%</c:v>
                  </c:pt>
                </c15:dlblRangeCache>
              </c15:datalabelsRange>
            </c:ext>
            <c:ext xmlns:c16="http://schemas.microsoft.com/office/drawing/2014/chart" uri="{C3380CC4-5D6E-409C-BE32-E72D297353CC}">
              <c16:uniqueId val="{00000003-FC7F-4610-9934-17A79F3DFB26}"/>
            </c:ext>
          </c:extLst>
        </c:ser>
        <c:dLbls>
          <c:showLegendKey val="0"/>
          <c:showVal val="0"/>
          <c:showCatName val="0"/>
          <c:showSerName val="0"/>
          <c:showPercent val="0"/>
          <c:showBubbleSize val="0"/>
        </c:dLbls>
        <c:gapWidth val="0"/>
        <c:overlap val="100"/>
        <c:axId val="1860293776"/>
        <c:axId val="1619312160"/>
      </c:barChart>
      <c:catAx>
        <c:axId val="1860293776"/>
        <c:scaling>
          <c:orientation val="minMax"/>
        </c:scaling>
        <c:delete val="1"/>
        <c:axPos val="l"/>
        <c:majorTickMark val="none"/>
        <c:minorTickMark val="none"/>
        <c:tickLblPos val="nextTo"/>
        <c:crossAx val="1619312160"/>
        <c:crosses val="autoZero"/>
        <c:auto val="1"/>
        <c:lblAlgn val="ctr"/>
        <c:lblOffset val="100"/>
        <c:noMultiLvlLbl val="0"/>
      </c:catAx>
      <c:valAx>
        <c:axId val="1619312160"/>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8602937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cat>
            <c:strRef>
              <c:f>'6 LCA'!$C$70:$O$70</c:f>
              <c:strCache>
                <c:ptCount val="13"/>
                <c:pt idx="0">
                  <c:v>Batteries</c:v>
                </c:pt>
                <c:pt idx="1">
                  <c:v>PV</c:v>
                </c:pt>
                <c:pt idx="2">
                  <c:v>Cooling system</c:v>
                </c:pt>
                <c:pt idx="3">
                  <c:v>Foundations</c:v>
                </c:pt>
                <c:pt idx="4">
                  <c:v>Timber structure</c:v>
                </c:pt>
                <c:pt idx="5">
                  <c:v>Vapour barrier</c:v>
                </c:pt>
                <c:pt idx="6">
                  <c:v>Insulated panels</c:v>
                </c:pt>
                <c:pt idx="7">
                  <c:v>External planting</c:v>
                </c:pt>
                <c:pt idx="8">
                  <c:v>Rainwater tank</c:v>
                </c:pt>
                <c:pt idx="9">
                  <c:v>Door</c:v>
                </c:pt>
                <c:pt idx="10">
                  <c:v>Ecoboards</c:v>
                </c:pt>
                <c:pt idx="11">
                  <c:v>Timber boards</c:v>
                </c:pt>
                <c:pt idx="12">
                  <c:v>Charcoal cooler</c:v>
                </c:pt>
              </c:strCache>
            </c:strRef>
          </c:cat>
          <c:val>
            <c:numRef>
              <c:f>'6 LCA'!$C$88:$O$88</c:f>
              <c:numCache>
                <c:formatCode>General</c:formatCode>
                <c:ptCount val="13"/>
                <c:pt idx="0">
                  <c:v>3.8627399999999996</c:v>
                </c:pt>
                <c:pt idx="1">
                  <c:v>187.05770043999996</c:v>
                </c:pt>
                <c:pt idx="2">
                  <c:v>10.782599999999999</c:v>
                </c:pt>
                <c:pt idx="3">
                  <c:v>3.4368905780392414</c:v>
                </c:pt>
                <c:pt idx="4">
                  <c:v>0.27282077399808002</c:v>
                </c:pt>
                <c:pt idx="5">
                  <c:v>0.71413859999999996</c:v>
                </c:pt>
                <c:pt idx="6">
                  <c:v>4.0267457142857142</c:v>
                </c:pt>
                <c:pt idx="7">
                  <c:v>3.3260907798194571E-3</c:v>
                </c:pt>
                <c:pt idx="8">
                  <c:v>0.84892536914726902</c:v>
                </c:pt>
                <c:pt idx="9">
                  <c:v>0.21890865498511908</c:v>
                </c:pt>
                <c:pt idx="10">
                  <c:v>7.6493289600000001</c:v>
                </c:pt>
                <c:pt idx="11">
                  <c:v>2.58874</c:v>
                </c:pt>
                <c:pt idx="12">
                  <c:v>0.78441000000000005</c:v>
                </c:pt>
              </c:numCache>
            </c:numRef>
          </c:val>
          <c:extLst>
            <c:ext xmlns:c16="http://schemas.microsoft.com/office/drawing/2014/chart" uri="{C3380CC4-5D6E-409C-BE32-E72D297353CC}">
              <c16:uniqueId val="{00000000-DD62-49E9-B99E-6EC0595D6869}"/>
            </c:ext>
          </c:extLst>
        </c:ser>
        <c:dLbls>
          <c:showLegendKey val="0"/>
          <c:showVal val="0"/>
          <c:showCatName val="0"/>
          <c:showSerName val="0"/>
          <c:showPercent val="0"/>
          <c:showBubbleSize val="0"/>
        </c:dLbls>
        <c:gapWidth val="150"/>
        <c:axId val="1939570288"/>
        <c:axId val="2080023856"/>
      </c:barChart>
      <c:catAx>
        <c:axId val="1939570288"/>
        <c:scaling>
          <c:orientation val="minMax"/>
        </c:scaling>
        <c:delete val="0"/>
        <c:axPos val="l"/>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080023856"/>
        <c:crosses val="autoZero"/>
        <c:auto val="1"/>
        <c:lblAlgn val="ctr"/>
        <c:lblOffset val="100"/>
        <c:noMultiLvlLbl val="0"/>
      </c:catAx>
      <c:valAx>
        <c:axId val="20800238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Water consumption (m</a:t>
                </a:r>
                <a:r>
                  <a:rPr lang="en-GB" baseline="30000"/>
                  <a:t>3</a:t>
                </a:r>
                <a:r>
                  <a:rPr lang="en-GB"/>
                  <a:t>)</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9395702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6350" cap="flat" cmpd="sng" algn="ctr">
      <a:solidFill>
        <a:sysClr val="windowText" lastClr="000000"/>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cat>
            <c:strRef>
              <c:f>'6 LCA'!$C$70:$O$70</c:f>
              <c:strCache>
                <c:ptCount val="13"/>
                <c:pt idx="0">
                  <c:v>Batteries</c:v>
                </c:pt>
                <c:pt idx="1">
                  <c:v>PV</c:v>
                </c:pt>
                <c:pt idx="2">
                  <c:v>Cooling system</c:v>
                </c:pt>
                <c:pt idx="3">
                  <c:v>Foundations</c:v>
                </c:pt>
                <c:pt idx="4">
                  <c:v>Timber structure</c:v>
                </c:pt>
                <c:pt idx="5">
                  <c:v>Vapour barrier</c:v>
                </c:pt>
                <c:pt idx="6">
                  <c:v>Insulated panels</c:v>
                </c:pt>
                <c:pt idx="7">
                  <c:v>External planting</c:v>
                </c:pt>
                <c:pt idx="8">
                  <c:v>Rainwater tank</c:v>
                </c:pt>
                <c:pt idx="9">
                  <c:v>Door</c:v>
                </c:pt>
                <c:pt idx="10">
                  <c:v>Ecoboards</c:v>
                </c:pt>
                <c:pt idx="11">
                  <c:v>Timber boards</c:v>
                </c:pt>
                <c:pt idx="12">
                  <c:v>Charcoal cooler</c:v>
                </c:pt>
              </c:strCache>
            </c:strRef>
          </c:cat>
          <c:val>
            <c:numRef>
              <c:f>'6 LCA'!$C$82:$O$82</c:f>
              <c:numCache>
                <c:formatCode>General</c:formatCode>
                <c:ptCount val="13"/>
                <c:pt idx="0">
                  <c:v>19.378589999999999</c:v>
                </c:pt>
                <c:pt idx="1">
                  <c:v>116.85914435999997</c:v>
                </c:pt>
                <c:pt idx="2">
                  <c:v>27.288</c:v>
                </c:pt>
                <c:pt idx="3">
                  <c:v>11.040612545866358</c:v>
                </c:pt>
                <c:pt idx="4">
                  <c:v>707.52098190267657</c:v>
                </c:pt>
                <c:pt idx="5">
                  <c:v>1.3785888000000002</c:v>
                </c:pt>
                <c:pt idx="6">
                  <c:v>4698.2450314285716</c:v>
                </c:pt>
                <c:pt idx="7">
                  <c:v>1.1647980769214896</c:v>
                </c:pt>
                <c:pt idx="8">
                  <c:v>6.2291493122145125</c:v>
                </c:pt>
                <c:pt idx="9">
                  <c:v>247.00056245215774</c:v>
                </c:pt>
                <c:pt idx="10">
                  <c:v>26.079019199999994</c:v>
                </c:pt>
                <c:pt idx="11">
                  <c:v>1165.9322400000001</c:v>
                </c:pt>
                <c:pt idx="12">
                  <c:v>45.873240000000003</c:v>
                </c:pt>
              </c:numCache>
            </c:numRef>
          </c:val>
          <c:extLst>
            <c:ext xmlns:c16="http://schemas.microsoft.com/office/drawing/2014/chart" uri="{C3380CC4-5D6E-409C-BE32-E72D297353CC}">
              <c16:uniqueId val="{00000000-4DDF-4132-9361-70F5E34B97B6}"/>
            </c:ext>
          </c:extLst>
        </c:ser>
        <c:dLbls>
          <c:showLegendKey val="0"/>
          <c:showVal val="0"/>
          <c:showCatName val="0"/>
          <c:showSerName val="0"/>
          <c:showPercent val="0"/>
          <c:showBubbleSize val="0"/>
        </c:dLbls>
        <c:gapWidth val="150"/>
        <c:axId val="1939570288"/>
        <c:axId val="2080023856"/>
      </c:barChart>
      <c:catAx>
        <c:axId val="1939570288"/>
        <c:scaling>
          <c:orientation val="minMax"/>
        </c:scaling>
        <c:delete val="0"/>
        <c:axPos val="l"/>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080023856"/>
        <c:crosses val="autoZero"/>
        <c:auto val="1"/>
        <c:lblAlgn val="ctr"/>
        <c:lblOffset val="100"/>
        <c:noMultiLvlLbl val="0"/>
      </c:catAx>
      <c:valAx>
        <c:axId val="20800238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Land use (m</a:t>
                </a:r>
                <a:r>
                  <a:rPr lang="en-GB" baseline="30000"/>
                  <a:t>2</a:t>
                </a:r>
                <a:r>
                  <a:rPr lang="en-GB"/>
                  <a:t>)</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9395702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6350" cap="flat" cmpd="sng" algn="ctr">
      <a:solidFill>
        <a:sysClr val="windowText" lastClr="000000"/>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cat>
            <c:strRef>
              <c:f>'6 LCA'!$C$70:$O$70</c:f>
              <c:strCache>
                <c:ptCount val="13"/>
                <c:pt idx="0">
                  <c:v>Batteries</c:v>
                </c:pt>
                <c:pt idx="1">
                  <c:v>PV</c:v>
                </c:pt>
                <c:pt idx="2">
                  <c:v>Cooling system</c:v>
                </c:pt>
                <c:pt idx="3">
                  <c:v>Foundations</c:v>
                </c:pt>
                <c:pt idx="4">
                  <c:v>Timber structure</c:v>
                </c:pt>
                <c:pt idx="5">
                  <c:v>Vapour barrier</c:v>
                </c:pt>
                <c:pt idx="6">
                  <c:v>Insulated panels</c:v>
                </c:pt>
                <c:pt idx="7">
                  <c:v>External planting</c:v>
                </c:pt>
                <c:pt idx="8">
                  <c:v>Rainwater tank</c:v>
                </c:pt>
                <c:pt idx="9">
                  <c:v>Door</c:v>
                </c:pt>
                <c:pt idx="10">
                  <c:v>Ecoboards</c:v>
                </c:pt>
                <c:pt idx="11">
                  <c:v>Timber boards</c:v>
                </c:pt>
                <c:pt idx="12">
                  <c:v>Charcoal cooler</c:v>
                </c:pt>
              </c:strCache>
            </c:strRef>
          </c:cat>
          <c:val>
            <c:numRef>
              <c:f>'6 LCA'!$C$79:$O$79</c:f>
              <c:numCache>
                <c:formatCode>General</c:formatCode>
                <c:ptCount val="13"/>
                <c:pt idx="0">
                  <c:v>81.9696</c:v>
                </c:pt>
                <c:pt idx="1">
                  <c:v>381.77882131999991</c:v>
                </c:pt>
                <c:pt idx="2">
                  <c:v>414.97775999999999</c:v>
                </c:pt>
                <c:pt idx="3">
                  <c:v>445.56605119992065</c:v>
                </c:pt>
                <c:pt idx="4">
                  <c:v>3.8854821200025609</c:v>
                </c:pt>
                <c:pt idx="5">
                  <c:v>1.961106</c:v>
                </c:pt>
                <c:pt idx="6">
                  <c:v>19.048765714285715</c:v>
                </c:pt>
                <c:pt idx="7">
                  <c:v>1.0761056131830185E-2</c:v>
                </c:pt>
                <c:pt idx="8">
                  <c:v>4.621126078689314</c:v>
                </c:pt>
                <c:pt idx="9">
                  <c:v>0.81619623015873011</c:v>
                </c:pt>
                <c:pt idx="10">
                  <c:v>25.296261119999997</c:v>
                </c:pt>
                <c:pt idx="11">
                  <c:v>22.484549999999999</c:v>
                </c:pt>
                <c:pt idx="12">
                  <c:v>3.3213900000000001</c:v>
                </c:pt>
              </c:numCache>
            </c:numRef>
          </c:val>
          <c:extLst>
            <c:ext xmlns:c16="http://schemas.microsoft.com/office/drawing/2014/chart" uri="{C3380CC4-5D6E-409C-BE32-E72D297353CC}">
              <c16:uniqueId val="{00000000-52C5-4760-B788-AB5914E8D092}"/>
            </c:ext>
          </c:extLst>
        </c:ser>
        <c:dLbls>
          <c:showLegendKey val="0"/>
          <c:showVal val="0"/>
          <c:showCatName val="0"/>
          <c:showSerName val="0"/>
          <c:showPercent val="0"/>
          <c:showBubbleSize val="0"/>
        </c:dLbls>
        <c:gapWidth val="150"/>
        <c:axId val="1939570288"/>
        <c:axId val="2080023856"/>
      </c:barChart>
      <c:catAx>
        <c:axId val="1939570288"/>
        <c:scaling>
          <c:orientation val="minMax"/>
        </c:scaling>
        <c:delete val="0"/>
        <c:axPos val="l"/>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080023856"/>
        <c:crosses val="autoZero"/>
        <c:auto val="1"/>
        <c:lblAlgn val="ctr"/>
        <c:lblOffset val="100"/>
        <c:noMultiLvlLbl val="0"/>
      </c:catAx>
      <c:valAx>
        <c:axId val="20800238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Human</a:t>
                </a:r>
                <a:r>
                  <a:rPr lang="en-GB" baseline="0"/>
                  <a:t> toxicity (kg 1,4-DCB-Eq)</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GB"/>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9395702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6350" cap="flat" cmpd="sng" algn="ctr">
      <a:solidFill>
        <a:sysClr val="windowText" lastClr="000000"/>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GB"/>
              <a:t>Biogenic contribution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6"/>
            </a:solidFill>
            <a:ln w="19050">
              <a:solidFill>
                <a:schemeClr val="lt1"/>
              </a:solidFill>
            </a:ln>
            <a:effectLst/>
          </c:spPr>
          <c:invertIfNegative val="0"/>
          <c:cat>
            <c:strRef>
              <c:f>'6 LCA'!$AF$24:$AF$29</c:f>
              <c:strCache>
                <c:ptCount val="6"/>
                <c:pt idx="0">
                  <c:v>Straw</c:v>
                </c:pt>
                <c:pt idx="1">
                  <c:v>Timber</c:v>
                </c:pt>
                <c:pt idx="2">
                  <c:v>Bamboo</c:v>
                </c:pt>
                <c:pt idx="3">
                  <c:v>Ecoboards</c:v>
                </c:pt>
                <c:pt idx="4">
                  <c:v>Timber board</c:v>
                </c:pt>
                <c:pt idx="5">
                  <c:v>Charcoal</c:v>
                </c:pt>
              </c:strCache>
            </c:strRef>
          </c:cat>
          <c:val>
            <c:numRef>
              <c:f>'6 LCA'!$AG$24:$AG$29</c:f>
              <c:numCache>
                <c:formatCode>General</c:formatCode>
                <c:ptCount val="6"/>
                <c:pt idx="0">
                  <c:v>1347.3216</c:v>
                </c:pt>
                <c:pt idx="1">
                  <c:v>717.04144512000005</c:v>
                </c:pt>
                <c:pt idx="2">
                  <c:v>71.054401929608105</c:v>
                </c:pt>
                <c:pt idx="3">
                  <c:v>0</c:v>
                </c:pt>
                <c:pt idx="4">
                  <c:v>1045.24992</c:v>
                </c:pt>
                <c:pt idx="5">
                  <c:v>51.324000000000005</c:v>
                </c:pt>
              </c:numCache>
            </c:numRef>
          </c:val>
          <c:extLst>
            <c:ext xmlns:c16="http://schemas.microsoft.com/office/drawing/2014/chart" uri="{C3380CC4-5D6E-409C-BE32-E72D297353CC}">
              <c16:uniqueId val="{00000000-F1C5-4646-B027-7AD53D3EE8AE}"/>
            </c:ext>
          </c:extLst>
        </c:ser>
        <c:dLbls>
          <c:showLegendKey val="0"/>
          <c:showVal val="0"/>
          <c:showCatName val="0"/>
          <c:showSerName val="0"/>
          <c:showPercent val="0"/>
          <c:showBubbleSize val="0"/>
        </c:dLbls>
        <c:gapWidth val="150"/>
        <c:axId val="890070079"/>
        <c:axId val="965994623"/>
      </c:barChart>
      <c:catAx>
        <c:axId val="890070079"/>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65994623"/>
        <c:crosses val="autoZero"/>
        <c:auto val="1"/>
        <c:lblAlgn val="ctr"/>
        <c:lblOffset val="100"/>
        <c:noMultiLvlLbl val="0"/>
      </c:catAx>
      <c:valAx>
        <c:axId val="9659946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Biogenic storage (kgCO2e)</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9007007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ysClr val="windowText" lastClr="000000"/>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54445365967379"/>
          <c:y val="0.1301184066989661"/>
          <c:w val="0.72181678101928526"/>
          <c:h val="0.80818291427990974"/>
        </c:manualLayout>
      </c:layout>
      <c:barChart>
        <c:barDir val="bar"/>
        <c:grouping val="clustered"/>
        <c:varyColors val="0"/>
        <c:ser>
          <c:idx val="0"/>
          <c:order val="0"/>
          <c:spPr>
            <a:solidFill>
              <a:schemeClr val="accent1"/>
            </a:solidFill>
            <a:ln>
              <a:noFill/>
            </a:ln>
            <a:effectLst/>
          </c:spPr>
          <c:invertIfNegative val="0"/>
          <c:cat>
            <c:strRef>
              <c:f>'6 LCA'!$J$43:$J$52</c:f>
              <c:strCache>
                <c:ptCount val="10"/>
                <c:pt idx="0">
                  <c:v>Ecoboards</c:v>
                </c:pt>
                <c:pt idx="1">
                  <c:v>Cement</c:v>
                </c:pt>
                <c:pt idx="2">
                  <c:v>Timber</c:v>
                </c:pt>
                <c:pt idx="3">
                  <c:v>Door</c:v>
                </c:pt>
                <c:pt idx="4">
                  <c:v>Water tank</c:v>
                </c:pt>
                <c:pt idx="5">
                  <c:v>Insulation</c:v>
                </c:pt>
                <c:pt idx="6">
                  <c:v>Cooling units</c:v>
                </c:pt>
                <c:pt idx="7">
                  <c:v>PV panels</c:v>
                </c:pt>
                <c:pt idx="8">
                  <c:v>Batteries</c:v>
                </c:pt>
                <c:pt idx="9">
                  <c:v>Other items (add)</c:v>
                </c:pt>
              </c:strCache>
            </c:strRef>
          </c:cat>
          <c:val>
            <c:numRef>
              <c:f>'6 LCA'!$U$43:$U$52</c:f>
              <c:numCache>
                <c:formatCode>0%</c:formatCode>
                <c:ptCount val="10"/>
                <c:pt idx="0">
                  <c:v>0.21145445800823737</c:v>
                </c:pt>
                <c:pt idx="1">
                  <c:v>0</c:v>
                </c:pt>
                <c:pt idx="2">
                  <c:v>1.7214751754559925E-2</c:v>
                </c:pt>
                <c:pt idx="3">
                  <c:v>0.3686313409550187</c:v>
                </c:pt>
                <c:pt idx="4">
                  <c:v>7.5644087079885167E-3</c:v>
                </c:pt>
                <c:pt idx="5">
                  <c:v>6.2217496643230348E-2</c:v>
                </c:pt>
                <c:pt idx="6">
                  <c:v>8.4766992112882023E-2</c:v>
                </c:pt>
                <c:pt idx="7">
                  <c:v>0.16475312587059748</c:v>
                </c:pt>
                <c:pt idx="8">
                  <c:v>7.5396204671349956E-2</c:v>
                </c:pt>
                <c:pt idx="9">
                  <c:v>8.0012212761355894E-3</c:v>
                </c:pt>
              </c:numCache>
            </c:numRef>
          </c:val>
          <c:extLst>
            <c:ext xmlns:c16="http://schemas.microsoft.com/office/drawing/2014/chart" uri="{C3380CC4-5D6E-409C-BE32-E72D297353CC}">
              <c16:uniqueId val="{00000000-13D8-4BCD-ABB4-985F3CF07EE4}"/>
            </c:ext>
          </c:extLst>
        </c:ser>
        <c:dLbls>
          <c:showLegendKey val="0"/>
          <c:showVal val="0"/>
          <c:showCatName val="0"/>
          <c:showSerName val="0"/>
          <c:showPercent val="0"/>
          <c:showBubbleSize val="0"/>
        </c:dLbls>
        <c:gapWidth val="7"/>
        <c:axId val="585446656"/>
        <c:axId val="900299311"/>
      </c:barChart>
      <c:catAx>
        <c:axId val="585446656"/>
        <c:scaling>
          <c:orientation val="maxMin"/>
        </c:scaling>
        <c:delete val="1"/>
        <c:axPos val="l"/>
        <c:numFmt formatCode="General" sourceLinked="1"/>
        <c:majorTickMark val="none"/>
        <c:minorTickMark val="none"/>
        <c:tickLblPos val="nextTo"/>
        <c:crossAx val="900299311"/>
        <c:crosses val="autoZero"/>
        <c:auto val="1"/>
        <c:lblAlgn val="ctr"/>
        <c:lblOffset val="100"/>
        <c:noMultiLvlLbl val="0"/>
      </c:catAx>
      <c:valAx>
        <c:axId val="900299311"/>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5854466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GB"/>
              <a:t>Total GHG emissions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cat>
            <c:strRef>
              <c:f>('6 LCA'!$C$70:$O$70,'6 LCA'!$R$70)</c:f>
              <c:strCache>
                <c:ptCount val="14"/>
                <c:pt idx="0">
                  <c:v>Batteries</c:v>
                </c:pt>
                <c:pt idx="1">
                  <c:v>PV</c:v>
                </c:pt>
                <c:pt idx="2">
                  <c:v>Cooling system</c:v>
                </c:pt>
                <c:pt idx="3">
                  <c:v>Foundations</c:v>
                </c:pt>
                <c:pt idx="4">
                  <c:v>Timber structure</c:v>
                </c:pt>
                <c:pt idx="5">
                  <c:v>Vapour barrier</c:v>
                </c:pt>
                <c:pt idx="6">
                  <c:v>Insulated panels</c:v>
                </c:pt>
                <c:pt idx="7">
                  <c:v>External planting</c:v>
                </c:pt>
                <c:pt idx="8">
                  <c:v>Rainwater tank</c:v>
                </c:pt>
                <c:pt idx="9">
                  <c:v>Door</c:v>
                </c:pt>
                <c:pt idx="10">
                  <c:v>Ecoboards</c:v>
                </c:pt>
                <c:pt idx="11">
                  <c:v>Timber boards</c:v>
                </c:pt>
                <c:pt idx="12">
                  <c:v>Charcoal cooler</c:v>
                </c:pt>
                <c:pt idx="13">
                  <c:v>Transport</c:v>
                </c:pt>
              </c:strCache>
            </c:strRef>
          </c:cat>
          <c:val>
            <c:numRef>
              <c:f>('6 LCA'!$C$72:$O$72,'6 LCA'!$R$72)</c:f>
              <c:numCache>
                <c:formatCode>General</c:formatCode>
                <c:ptCount val="14"/>
                <c:pt idx="0">
                  <c:v>446.82900000000006</c:v>
                </c:pt>
                <c:pt idx="1">
                  <c:v>2735.3348382238937</c:v>
                </c:pt>
                <c:pt idx="2">
                  <c:v>788.70612000000006</c:v>
                </c:pt>
                <c:pt idx="3">
                  <c:v>402.64703408923742</c:v>
                </c:pt>
                <c:pt idx="4">
                  <c:v>37.370387370032645</c:v>
                </c:pt>
                <c:pt idx="5">
                  <c:v>47.548627199999999</c:v>
                </c:pt>
                <c:pt idx="6">
                  <c:v>258.74395714285714</c:v>
                </c:pt>
                <c:pt idx="7">
                  <c:v>0.1974234028680491</c:v>
                </c:pt>
                <c:pt idx="8">
                  <c:v>102.66036190902507</c:v>
                </c:pt>
                <c:pt idx="9">
                  <c:v>11.861733245684524</c:v>
                </c:pt>
                <c:pt idx="10">
                  <c:v>443.49443842859995</c:v>
                </c:pt>
                <c:pt idx="11">
                  <c:v>311.3143</c:v>
                </c:pt>
                <c:pt idx="12">
                  <c:v>78.322379999999995</c:v>
                </c:pt>
                <c:pt idx="13">
                  <c:v>249.96184094610558</c:v>
                </c:pt>
              </c:numCache>
            </c:numRef>
          </c:val>
          <c:extLst>
            <c:ext xmlns:c16="http://schemas.microsoft.com/office/drawing/2014/chart" uri="{C3380CC4-5D6E-409C-BE32-E72D297353CC}">
              <c16:uniqueId val="{00000000-3DFB-454A-8EB4-8F96FC24DC4C}"/>
            </c:ext>
          </c:extLst>
        </c:ser>
        <c:ser>
          <c:idx val="1"/>
          <c:order val="1"/>
          <c:spPr>
            <a:solidFill>
              <a:schemeClr val="accent6"/>
            </a:solidFill>
            <a:ln>
              <a:noFill/>
            </a:ln>
            <a:effectLst/>
          </c:spPr>
          <c:invertIfNegative val="0"/>
          <c:cat>
            <c:strRef>
              <c:f>('6 LCA'!$C$70:$O$70,'6 LCA'!$R$70)</c:f>
              <c:strCache>
                <c:ptCount val="14"/>
                <c:pt idx="0">
                  <c:v>Batteries</c:v>
                </c:pt>
                <c:pt idx="1">
                  <c:v>PV</c:v>
                </c:pt>
                <c:pt idx="2">
                  <c:v>Cooling system</c:v>
                </c:pt>
                <c:pt idx="3">
                  <c:v>Foundations</c:v>
                </c:pt>
                <c:pt idx="4">
                  <c:v>Timber structure</c:v>
                </c:pt>
                <c:pt idx="5">
                  <c:v>Vapour barrier</c:v>
                </c:pt>
                <c:pt idx="6">
                  <c:v>Insulated panels</c:v>
                </c:pt>
                <c:pt idx="7">
                  <c:v>External planting</c:v>
                </c:pt>
                <c:pt idx="8">
                  <c:v>Rainwater tank</c:v>
                </c:pt>
                <c:pt idx="9">
                  <c:v>Door</c:v>
                </c:pt>
                <c:pt idx="10">
                  <c:v>Ecoboards</c:v>
                </c:pt>
                <c:pt idx="11">
                  <c:v>Timber boards</c:v>
                </c:pt>
                <c:pt idx="12">
                  <c:v>Charcoal cooler</c:v>
                </c:pt>
                <c:pt idx="13">
                  <c:v>Transport</c:v>
                </c:pt>
              </c:strCache>
            </c:strRef>
          </c:cat>
          <c:val>
            <c:numRef>
              <c:f>'6 LCA'!$C$89:$O$89</c:f>
              <c:numCache>
                <c:formatCode>General</c:formatCode>
                <c:ptCount val="13"/>
                <c:pt idx="4">
                  <c:v>-717.04144512000005</c:v>
                </c:pt>
                <c:pt idx="6">
                  <c:v>-1347.3216</c:v>
                </c:pt>
                <c:pt idx="7">
                  <c:v>-71.054401929608105</c:v>
                </c:pt>
                <c:pt idx="10">
                  <c:v>0</c:v>
                </c:pt>
                <c:pt idx="11">
                  <c:v>-1045.24992</c:v>
                </c:pt>
                <c:pt idx="12">
                  <c:v>-51.324000000000005</c:v>
                </c:pt>
              </c:numCache>
            </c:numRef>
          </c:val>
          <c:extLst>
            <c:ext xmlns:c16="http://schemas.microsoft.com/office/drawing/2014/chart" uri="{C3380CC4-5D6E-409C-BE32-E72D297353CC}">
              <c16:uniqueId val="{00000001-3DFB-454A-8EB4-8F96FC24DC4C}"/>
            </c:ext>
          </c:extLst>
        </c:ser>
        <c:dLbls>
          <c:showLegendKey val="0"/>
          <c:showVal val="0"/>
          <c:showCatName val="0"/>
          <c:showSerName val="0"/>
          <c:showPercent val="0"/>
          <c:showBubbleSize val="0"/>
        </c:dLbls>
        <c:gapWidth val="150"/>
        <c:axId val="1939570288"/>
        <c:axId val="2080023856"/>
      </c:barChart>
      <c:catAx>
        <c:axId val="1939570288"/>
        <c:scaling>
          <c:orientation val="minMax"/>
        </c:scaling>
        <c:delete val="0"/>
        <c:axPos val="l"/>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080023856"/>
        <c:crosses val="autoZero"/>
        <c:auto val="1"/>
        <c:lblAlgn val="ctr"/>
        <c:lblOffset val="100"/>
        <c:noMultiLvlLbl val="0"/>
      </c:catAx>
      <c:valAx>
        <c:axId val="20800238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Net</a:t>
                </a:r>
                <a:r>
                  <a:rPr lang="en-GB" baseline="0"/>
                  <a:t> emissions (kgCO2e)</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GB"/>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9395702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9050" cap="flat" cmpd="sng" algn="ctr">
      <a:solidFill>
        <a:sysClr val="windowText" lastClr="000000"/>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GB"/>
              <a:t>Transport</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strRef>
              <c:f>'6 LCA'!$AP$42</c:f>
              <c:strCache>
                <c:ptCount val="1"/>
                <c:pt idx="0">
                  <c:v>kgCO2e</c:v>
                </c:pt>
              </c:strCache>
            </c:strRef>
          </c:tx>
          <c:spPr>
            <a:solidFill>
              <a:schemeClr val="accent1"/>
            </a:solidFill>
            <a:ln>
              <a:noFill/>
            </a:ln>
            <a:effectLst/>
          </c:spPr>
          <c:invertIfNegative val="0"/>
          <c:cat>
            <c:strRef>
              <c:f>'6 LCA'!$AO$43:$AO$52</c:f>
              <c:strCache>
                <c:ptCount val="10"/>
                <c:pt idx="0">
                  <c:v>Ecoboards</c:v>
                </c:pt>
                <c:pt idx="1">
                  <c:v>Cement</c:v>
                </c:pt>
                <c:pt idx="2">
                  <c:v>Timber</c:v>
                </c:pt>
                <c:pt idx="3">
                  <c:v>Door</c:v>
                </c:pt>
                <c:pt idx="4">
                  <c:v>Water tank</c:v>
                </c:pt>
                <c:pt idx="5">
                  <c:v>Insulation</c:v>
                </c:pt>
                <c:pt idx="6">
                  <c:v>Cooling units</c:v>
                </c:pt>
                <c:pt idx="7">
                  <c:v>PV panels</c:v>
                </c:pt>
                <c:pt idx="8">
                  <c:v>Batteries</c:v>
                </c:pt>
                <c:pt idx="9">
                  <c:v>Other items (add)</c:v>
                </c:pt>
              </c:strCache>
            </c:strRef>
          </c:cat>
          <c:val>
            <c:numRef>
              <c:f>'6 LCA'!$AP$43:$AP$52</c:f>
              <c:numCache>
                <c:formatCode>General</c:formatCode>
                <c:ptCount val="10"/>
                <c:pt idx="0">
                  <c:v>56.002129919999987</c:v>
                </c:pt>
                <c:pt idx="1">
                  <c:v>33.75</c:v>
                </c:pt>
                <c:pt idx="2">
                  <c:v>3.6324288000000009</c:v>
                </c:pt>
                <c:pt idx="3">
                  <c:v>23.372166950610399</c:v>
                </c:pt>
                <c:pt idx="4">
                  <c:v>1.8908135263175616</c:v>
                </c:pt>
                <c:pt idx="5">
                  <c:v>21.168000000000003</c:v>
                </c:pt>
                <c:pt idx="6">
                  <c:v>430.62750000000005</c:v>
                </c:pt>
                <c:pt idx="7">
                  <c:v>836.96760900000004</c:v>
                </c:pt>
                <c:pt idx="8">
                  <c:v>37.692348240000001</c:v>
                </c:pt>
                <c:pt idx="9">
                  <c:v>2</c:v>
                </c:pt>
              </c:numCache>
            </c:numRef>
          </c:val>
          <c:extLst>
            <c:ext xmlns:c16="http://schemas.microsoft.com/office/drawing/2014/chart" uri="{C3380CC4-5D6E-409C-BE32-E72D297353CC}">
              <c16:uniqueId val="{00000000-9A9A-40CD-BF87-C89BC9D7B64E}"/>
            </c:ext>
          </c:extLst>
        </c:ser>
        <c:dLbls>
          <c:showLegendKey val="0"/>
          <c:showVal val="0"/>
          <c:showCatName val="0"/>
          <c:showSerName val="0"/>
          <c:showPercent val="0"/>
          <c:showBubbleSize val="0"/>
        </c:dLbls>
        <c:gapWidth val="219"/>
        <c:overlap val="-27"/>
        <c:axId val="1440448223"/>
        <c:axId val="1309843519"/>
      </c:barChart>
      <c:catAx>
        <c:axId val="1440448223"/>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309843519"/>
        <c:crosses val="autoZero"/>
        <c:auto val="1"/>
        <c:lblAlgn val="ctr"/>
        <c:lblOffset val="100"/>
        <c:noMultiLvlLbl val="0"/>
      </c:catAx>
      <c:valAx>
        <c:axId val="13098435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Transport emissions (kgCO2e)</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404482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ysClr val="windowText" lastClr="000000"/>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n-US"/>
        </a:p>
      </c:txPr>
    </c:title>
    <c:autoTitleDeleted val="0"/>
    <c:plotArea>
      <c:layout/>
      <c:radarChart>
        <c:radarStyle val="marker"/>
        <c:varyColors val="0"/>
        <c:ser>
          <c:idx val="0"/>
          <c:order val="0"/>
          <c:tx>
            <c:strRef>
              <c:f>'6 LCA'!$B$112</c:f>
              <c:strCache>
                <c:ptCount val="1"/>
                <c:pt idx="0">
                  <c:v>Climate change</c:v>
                </c:pt>
              </c:strCache>
            </c:strRef>
          </c:tx>
          <c:spPr>
            <a:ln w="28575" cap="rnd">
              <a:solidFill>
                <a:schemeClr val="accent1"/>
              </a:solidFill>
              <a:round/>
            </a:ln>
            <a:effectLst/>
          </c:spPr>
          <c:marker>
            <c:symbol val="none"/>
          </c:marker>
          <c:cat>
            <c:strRef>
              <c:f>'6 LCA'!$C$70:$O$70</c:f>
              <c:strCache>
                <c:ptCount val="13"/>
                <c:pt idx="0">
                  <c:v>Batteries</c:v>
                </c:pt>
                <c:pt idx="1">
                  <c:v>PV</c:v>
                </c:pt>
                <c:pt idx="2">
                  <c:v>Cooling system</c:v>
                </c:pt>
                <c:pt idx="3">
                  <c:v>Foundations</c:v>
                </c:pt>
                <c:pt idx="4">
                  <c:v>Timber structure</c:v>
                </c:pt>
                <c:pt idx="5">
                  <c:v>Vapour barrier</c:v>
                </c:pt>
                <c:pt idx="6">
                  <c:v>Insulated panels</c:v>
                </c:pt>
                <c:pt idx="7">
                  <c:v>External planting</c:v>
                </c:pt>
                <c:pt idx="8">
                  <c:v>Rainwater tank</c:v>
                </c:pt>
                <c:pt idx="9">
                  <c:v>Door</c:v>
                </c:pt>
                <c:pt idx="10">
                  <c:v>Ecoboards</c:v>
                </c:pt>
                <c:pt idx="11">
                  <c:v>Timber boards</c:v>
                </c:pt>
                <c:pt idx="12">
                  <c:v>Charcoal cooler</c:v>
                </c:pt>
              </c:strCache>
            </c:strRef>
          </c:cat>
          <c:val>
            <c:numRef>
              <c:f>'6 LCA'!$C$112:$O$112</c:f>
              <c:numCache>
                <c:formatCode>General</c:formatCode>
                <c:ptCount val="13"/>
                <c:pt idx="0">
                  <c:v>0.10890293789166346</c:v>
                </c:pt>
                <c:pt idx="1">
                  <c:v>1</c:v>
                </c:pt>
                <c:pt idx="2">
                  <c:v>0.28833988036072483</c:v>
                </c:pt>
                <c:pt idx="3">
                  <c:v>0.22288658367112166</c:v>
                </c:pt>
                <c:pt idx="4">
                  <c:v>1.1532932076887712E-2</c:v>
                </c:pt>
                <c:pt idx="5">
                  <c:v>1.988896161441241E-2</c:v>
                </c:pt>
                <c:pt idx="6">
                  <c:v>0.12297131060503368</c:v>
                </c:pt>
                <c:pt idx="7">
                  <c:v>2.9595758065537505E-5</c:v>
                </c:pt>
                <c:pt idx="8">
                  <c:v>3.7531186483803367E-2</c:v>
                </c:pt>
                <c:pt idx="9">
                  <c:v>5.9126025715588587E-2</c:v>
                </c:pt>
                <c:pt idx="10">
                  <c:v>0.14906762837611501</c:v>
                </c:pt>
                <c:pt idx="11">
                  <c:v>0.10346557797792898</c:v>
                </c:pt>
                <c:pt idx="12">
                  <c:v>2.8633562116605893E-2</c:v>
                </c:pt>
              </c:numCache>
            </c:numRef>
          </c:val>
          <c:extLst>
            <c:ext xmlns:c16="http://schemas.microsoft.com/office/drawing/2014/chart" uri="{C3380CC4-5D6E-409C-BE32-E72D297353CC}">
              <c16:uniqueId val="{00000000-C46C-44F6-8244-32978E83AEB1}"/>
            </c:ext>
          </c:extLst>
        </c:ser>
        <c:dLbls>
          <c:showLegendKey val="0"/>
          <c:showVal val="0"/>
          <c:showCatName val="0"/>
          <c:showSerName val="0"/>
          <c:showPercent val="0"/>
          <c:showBubbleSize val="0"/>
        </c:dLbls>
        <c:axId val="388166448"/>
        <c:axId val="982985679"/>
      </c:radarChart>
      <c:catAx>
        <c:axId val="388166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982985679"/>
        <c:crosses val="autoZero"/>
        <c:auto val="1"/>
        <c:lblAlgn val="ctr"/>
        <c:lblOffset val="100"/>
        <c:noMultiLvlLbl val="0"/>
      </c:catAx>
      <c:valAx>
        <c:axId val="98298567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388166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noFill/>
      <a:round/>
    </a:ln>
    <a:effectLst/>
  </c:spPr>
  <c:txPr>
    <a:bodyPr/>
    <a:lstStyle/>
    <a:p>
      <a:pPr>
        <a:defRPr sz="1400">
          <a:solidFill>
            <a:sysClr val="windowText" lastClr="000000"/>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radarChart>
        <c:radarStyle val="marker"/>
        <c:varyColors val="0"/>
        <c:ser>
          <c:idx val="7"/>
          <c:order val="0"/>
          <c:tx>
            <c:strRef>
              <c:f>'6 LCA'!$B$113</c:f>
              <c:strCache>
                <c:ptCount val="1"/>
                <c:pt idx="0">
                  <c:v>Freshwater ecotoxicity</c:v>
                </c:pt>
              </c:strCache>
            </c:strRef>
          </c:tx>
          <c:marker>
            <c:symbol val="none"/>
          </c:marker>
          <c:cat>
            <c:strRef>
              <c:f>'6 LCA'!$C$70:$O$70</c:f>
              <c:strCache>
                <c:ptCount val="13"/>
                <c:pt idx="0">
                  <c:v>Batteries</c:v>
                </c:pt>
                <c:pt idx="1">
                  <c:v>PV</c:v>
                </c:pt>
                <c:pt idx="2">
                  <c:v>Cooling system</c:v>
                </c:pt>
                <c:pt idx="3">
                  <c:v>Foundations</c:v>
                </c:pt>
                <c:pt idx="4">
                  <c:v>Timber structure</c:v>
                </c:pt>
                <c:pt idx="5">
                  <c:v>Vapour barrier</c:v>
                </c:pt>
                <c:pt idx="6">
                  <c:v>Insulated panels</c:v>
                </c:pt>
                <c:pt idx="7">
                  <c:v>External planting</c:v>
                </c:pt>
                <c:pt idx="8">
                  <c:v>Rainwater tank</c:v>
                </c:pt>
                <c:pt idx="9">
                  <c:v>Door</c:v>
                </c:pt>
                <c:pt idx="10">
                  <c:v>Ecoboards</c:v>
                </c:pt>
                <c:pt idx="11">
                  <c:v>Timber boards</c:v>
                </c:pt>
                <c:pt idx="12">
                  <c:v>Charcoal cooler</c:v>
                </c:pt>
              </c:strCache>
            </c:strRef>
          </c:cat>
          <c:val>
            <c:numRef>
              <c:f>'6 LCA'!$C$113:$O$113</c:f>
              <c:numCache>
                <c:formatCode>General</c:formatCode>
                <c:ptCount val="13"/>
                <c:pt idx="0">
                  <c:v>9.3828705893580305E-2</c:v>
                </c:pt>
                <c:pt idx="1">
                  <c:v>0.25066769069906392</c:v>
                </c:pt>
                <c:pt idx="2">
                  <c:v>1</c:v>
                </c:pt>
                <c:pt idx="3">
                  <c:v>1.7948580113065878E-2</c:v>
                </c:pt>
                <c:pt idx="4">
                  <c:v>4.5534318245867364E-4</c:v>
                </c:pt>
                <c:pt idx="5">
                  <c:v>9.2144244174467227E-4</c:v>
                </c:pt>
                <c:pt idx="6">
                  <c:v>5.4888543637555609E-3</c:v>
                </c:pt>
                <c:pt idx="7">
                  <c:v>2.9250753451393187E-6</c:v>
                </c:pt>
                <c:pt idx="8">
                  <c:v>1.6295534414514643E-3</c:v>
                </c:pt>
                <c:pt idx="9">
                  <c:v>3.8075843052001244E-3</c:v>
                </c:pt>
                <c:pt idx="10">
                  <c:v>6.1871190997809192E-3</c:v>
                </c:pt>
                <c:pt idx="11">
                  <c:v>5.2951432110137425E-3</c:v>
                </c:pt>
                <c:pt idx="12">
                  <c:v>1.1906373439885814E-3</c:v>
                </c:pt>
              </c:numCache>
            </c:numRef>
          </c:val>
          <c:extLst>
            <c:ext xmlns:c16="http://schemas.microsoft.com/office/drawing/2014/chart" uri="{C3380CC4-5D6E-409C-BE32-E72D297353CC}">
              <c16:uniqueId val="{00000000-D0DE-4D66-82B0-85C97D19F877}"/>
            </c:ext>
          </c:extLst>
        </c:ser>
        <c:dLbls>
          <c:showLegendKey val="0"/>
          <c:showVal val="0"/>
          <c:showCatName val="0"/>
          <c:showSerName val="0"/>
          <c:showPercent val="0"/>
          <c:showBubbleSize val="0"/>
        </c:dLbls>
        <c:axId val="388166448"/>
        <c:axId val="982985679"/>
      </c:radarChart>
      <c:catAx>
        <c:axId val="388166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982985679"/>
        <c:crosses val="autoZero"/>
        <c:auto val="1"/>
        <c:lblAlgn val="ctr"/>
        <c:lblOffset val="100"/>
        <c:noMultiLvlLbl val="0"/>
      </c:catAx>
      <c:valAx>
        <c:axId val="98298567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vert="horz"/>
          <a:lstStyle/>
          <a:p>
            <a:pPr>
              <a:defRPr/>
            </a:pPr>
            <a:endParaRPr lang="en-US"/>
          </a:p>
        </c:txPr>
        <c:crossAx val="388166448"/>
        <c:crosses val="autoZero"/>
        <c:crossBetween val="between"/>
      </c:valAx>
    </c:plotArea>
    <c:plotVisOnly val="1"/>
    <c:dispBlanksAs val="gap"/>
    <c:showDLblsOverMax val="0"/>
    <c:extLst/>
  </c:chart>
  <c:spPr>
    <a:ln>
      <a:noFill/>
    </a:ln>
  </c:spPr>
  <c:txPr>
    <a:bodyPr/>
    <a:lstStyle/>
    <a:p>
      <a:pPr>
        <a:defRPr sz="1400" b="0">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1"/>
  <c:style val="2"/>
  <c:chart>
    <c:title>
      <c:tx>
        <c:rich>
          <a:bodyPr/>
          <a:lstStyle/>
          <a:p>
            <a:pPr lvl="0">
              <a:defRPr b="0">
                <a:solidFill>
                  <a:srgbClr val="757575"/>
                </a:solidFill>
                <a:latin typeface="+mn-lt"/>
              </a:defRPr>
            </a:pPr>
            <a:r>
              <a:rPr lang="en-ZW" b="0">
                <a:solidFill>
                  <a:srgbClr val="757575"/>
                </a:solidFill>
                <a:latin typeface="+mn-lt"/>
              </a:rPr>
              <a:t>Cooling load</a:t>
            </a:r>
          </a:p>
        </c:rich>
      </c:tx>
      <c:overlay val="0"/>
    </c:title>
    <c:autoTitleDeleted val="0"/>
    <c:plotArea>
      <c:layout>
        <c:manualLayout>
          <c:xMode val="edge"/>
          <c:yMode val="edge"/>
          <c:x val="0.14377668248649264"/>
          <c:y val="0.17171296296296296"/>
          <c:w val="0.78316497964669574"/>
          <c:h val="0.62271617089530473"/>
        </c:manualLayout>
      </c:layout>
      <c:scatterChart>
        <c:scatterStyle val="lineMarker"/>
        <c:varyColors val="0"/>
        <c:ser>
          <c:idx val="0"/>
          <c:order val="0"/>
          <c:tx>
            <c:v>Accumulated Cooling load in kWh</c:v>
          </c:tx>
          <c:spPr>
            <a:ln>
              <a:noFill/>
            </a:ln>
          </c:spPr>
          <c:marker>
            <c:symbol val="circle"/>
            <c:size val="7"/>
            <c:spPr>
              <a:solidFill>
                <a:schemeClr val="accent1"/>
              </a:solidFill>
              <a:ln cmpd="sng">
                <a:solidFill>
                  <a:schemeClr val="accent1"/>
                </a:solidFill>
              </a:ln>
            </c:spPr>
          </c:marker>
          <c:xVal>
            <c:numRef>
              <c:f>'Calculation Sheet'!$B$122:$B$146</c:f>
              <c:numCache>
                <c:formatCode>General</c:formatCode>
                <c:ptCount val="2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xVal>
          <c:yVal>
            <c:numRef>
              <c:f>'Calculation Sheet'!$G$122:$G$146</c:f>
              <c:numCache>
                <c:formatCode>0.00</c:formatCode>
                <c:ptCount val="25"/>
                <c:pt idx="0">
                  <c:v>0</c:v>
                </c:pt>
                <c:pt idx="1">
                  <c:v>3.3936317112969103</c:v>
                </c:pt>
                <c:pt idx="2">
                  <c:v>5.097031823485084</c:v>
                </c:pt>
                <c:pt idx="3">
                  <c:v>6.0003627904033996</c:v>
                </c:pt>
                <c:pt idx="4">
                  <c:v>6.5258751192974165</c:v>
                </c:pt>
                <c:pt idx="5">
                  <c:v>6.8604266304001218</c:v>
                </c:pt>
                <c:pt idx="6">
                  <c:v>7.0996749715033012</c:v>
                </c:pt>
                <c:pt idx="7">
                  <c:v>7.2881419326853658</c:v>
                </c:pt>
                <c:pt idx="8">
                  <c:v>7.442667055146134</c:v>
                </c:pt>
                <c:pt idx="9">
                  <c:v>7.5754425946653852</c:v>
                </c:pt>
                <c:pt idx="10">
                  <c:v>7.6923120779355205</c:v>
                </c:pt>
                <c:pt idx="11">
                  <c:v>7.8022937749747241</c:v>
                </c:pt>
                <c:pt idx="12">
                  <c:v>7.9074487252296866</c:v>
                </c:pt>
                <c:pt idx="13">
                  <c:v>8.0073457036747495</c:v>
                </c:pt>
                <c:pt idx="14">
                  <c:v>8.1041471924614097</c:v>
                </c:pt>
                <c:pt idx="15">
                  <c:v>8.1970154971255731</c:v>
                </c:pt>
                <c:pt idx="16">
                  <c:v>8.2860070534363626</c:v>
                </c:pt>
                <c:pt idx="17">
                  <c:v>8.3730614924595059</c:v>
                </c:pt>
                <c:pt idx="18">
                  <c:v>8.4572351703973059</c:v>
                </c:pt>
                <c:pt idx="19">
                  <c:v>8.5394905518876296</c:v>
                </c:pt>
                <c:pt idx="20">
                  <c:v>8.6303509202206286</c:v>
                </c:pt>
                <c:pt idx="21">
                  <c:v>8.7355560461891297</c:v>
                </c:pt>
                <c:pt idx="22">
                  <c:v>8.8551065815045042</c:v>
                </c:pt>
                <c:pt idx="23">
                  <c:v>8.9890028360076712</c:v>
                </c:pt>
                <c:pt idx="24">
                  <c:v>9.1353321570052461</c:v>
                </c:pt>
              </c:numCache>
            </c:numRef>
          </c:yVal>
          <c:smooth val="1"/>
          <c:extLst>
            <c:ext xmlns:c16="http://schemas.microsoft.com/office/drawing/2014/chart" uri="{C3380CC4-5D6E-409C-BE32-E72D297353CC}">
              <c16:uniqueId val="{00000000-0AF7-459A-B438-CCF7C27145D1}"/>
            </c:ext>
          </c:extLst>
        </c:ser>
        <c:dLbls>
          <c:showLegendKey val="0"/>
          <c:showVal val="0"/>
          <c:showCatName val="0"/>
          <c:showSerName val="0"/>
          <c:showPercent val="0"/>
          <c:showBubbleSize val="0"/>
        </c:dLbls>
        <c:axId val="289217520"/>
        <c:axId val="289217912"/>
      </c:scatterChart>
      <c:valAx>
        <c:axId val="289217520"/>
        <c:scaling>
          <c:orientation val="minMax"/>
          <c:max val="24"/>
        </c:scaling>
        <c:delete val="0"/>
        <c:axPos val="b"/>
        <c:majorGridlines>
          <c:spPr>
            <a:ln>
              <a:solidFill>
                <a:srgbClr val="B7B7B7"/>
              </a:solidFill>
            </a:ln>
          </c:spPr>
        </c:majorGridlines>
        <c:title>
          <c:tx>
            <c:rich>
              <a:bodyPr/>
              <a:lstStyle/>
              <a:p>
                <a:pPr lvl="0">
                  <a:defRPr b="0">
                    <a:solidFill>
                      <a:srgbClr val="000000"/>
                    </a:solidFill>
                    <a:latin typeface="+mn-lt"/>
                  </a:defRPr>
                </a:pPr>
                <a:r>
                  <a:rPr lang="en-ZW" b="0">
                    <a:solidFill>
                      <a:srgbClr val="000000"/>
                    </a:solidFill>
                    <a:latin typeface="+mn-lt"/>
                  </a:rPr>
                  <a:t>Time in h</a:t>
                </a:r>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289217912"/>
        <c:crosses val="autoZero"/>
        <c:crossBetween val="midCat"/>
      </c:valAx>
      <c:valAx>
        <c:axId val="28921791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lang="en-ZW" b="0">
                    <a:solidFill>
                      <a:srgbClr val="000000"/>
                    </a:solidFill>
                    <a:latin typeface="+mn-lt"/>
                  </a:rPr>
                  <a:t>Accumulated Cooling load in kWh</a:t>
                </a:r>
              </a:p>
            </c:rich>
          </c:tx>
          <c:overlay val="0"/>
        </c:title>
        <c:numFmt formatCode="0.0" sourceLinked="0"/>
        <c:majorTickMark val="none"/>
        <c:minorTickMark val="none"/>
        <c:tickLblPos val="nextTo"/>
        <c:spPr>
          <a:ln/>
        </c:spPr>
        <c:txPr>
          <a:bodyPr/>
          <a:lstStyle/>
          <a:p>
            <a:pPr lvl="0">
              <a:defRPr sz="900" b="0" i="0">
                <a:solidFill>
                  <a:srgbClr val="000000"/>
                </a:solidFill>
                <a:latin typeface="+mn-lt"/>
              </a:defRPr>
            </a:pPr>
            <a:endParaRPr lang="en-US"/>
          </a:p>
        </c:txPr>
        <c:crossAx val="289217520"/>
        <c:crosses val="autoZero"/>
        <c:crossBetween val="midCat"/>
      </c:valAx>
    </c:plotArea>
    <c:legend>
      <c:legendPos val="r"/>
      <c:layout>
        <c:manualLayout>
          <c:xMode val="edge"/>
          <c:yMode val="edge"/>
          <c:x val="0.63825714899432884"/>
          <c:y val="2.8120443277923541E-3"/>
        </c:manualLayout>
      </c:layout>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radarChart>
        <c:radarStyle val="marker"/>
        <c:varyColors val="0"/>
        <c:ser>
          <c:idx val="8"/>
          <c:order val="0"/>
          <c:tx>
            <c:strRef>
              <c:f>'6 LCA'!$B$114</c:f>
              <c:strCache>
                <c:ptCount val="1"/>
                <c:pt idx="0">
                  <c:v>Terrestrial ecotoxicity</c:v>
                </c:pt>
              </c:strCache>
            </c:strRef>
          </c:tx>
          <c:spPr>
            <a:ln w="28575" cap="rnd">
              <a:solidFill>
                <a:schemeClr val="accent3"/>
              </a:solidFill>
              <a:round/>
            </a:ln>
            <a:effectLst/>
          </c:spPr>
          <c:marker>
            <c:symbol val="none"/>
          </c:marker>
          <c:cat>
            <c:strRef>
              <c:f>'6 LCA'!$C$70:$O$70</c:f>
              <c:strCache>
                <c:ptCount val="13"/>
                <c:pt idx="0">
                  <c:v>Batteries</c:v>
                </c:pt>
                <c:pt idx="1">
                  <c:v>PV</c:v>
                </c:pt>
                <c:pt idx="2">
                  <c:v>Cooling system</c:v>
                </c:pt>
                <c:pt idx="3">
                  <c:v>Foundations</c:v>
                </c:pt>
                <c:pt idx="4">
                  <c:v>Timber structure</c:v>
                </c:pt>
                <c:pt idx="5">
                  <c:v>Vapour barrier</c:v>
                </c:pt>
                <c:pt idx="6">
                  <c:v>Insulated panels</c:v>
                </c:pt>
                <c:pt idx="7">
                  <c:v>External planting</c:v>
                </c:pt>
                <c:pt idx="8">
                  <c:v>Rainwater tank</c:v>
                </c:pt>
                <c:pt idx="9">
                  <c:v>Door</c:v>
                </c:pt>
                <c:pt idx="10">
                  <c:v>Ecoboards</c:v>
                </c:pt>
                <c:pt idx="11">
                  <c:v>Timber boards</c:v>
                </c:pt>
                <c:pt idx="12">
                  <c:v>Charcoal cooler</c:v>
                </c:pt>
              </c:strCache>
            </c:strRef>
          </c:cat>
          <c:val>
            <c:numRef>
              <c:f>'6 LCA'!$C$114:$O$114</c:f>
              <c:numCache>
                <c:formatCode>General</c:formatCode>
                <c:ptCount val="13"/>
                <c:pt idx="0">
                  <c:v>0.10262906080406385</c:v>
                </c:pt>
                <c:pt idx="1">
                  <c:v>1</c:v>
                </c:pt>
                <c:pt idx="2">
                  <c:v>0.24709673018201012</c:v>
                </c:pt>
                <c:pt idx="3">
                  <c:v>2.3398357680304176E-2</c:v>
                </c:pt>
                <c:pt idx="4">
                  <c:v>1.2218340024905459E-3</c:v>
                </c:pt>
                <c:pt idx="5">
                  <c:v>1.1273466023229357E-3</c:v>
                </c:pt>
                <c:pt idx="6">
                  <c:v>1.4241760162253913E-2</c:v>
                </c:pt>
                <c:pt idx="7">
                  <c:v>4.5110675762677446E-6</c:v>
                </c:pt>
                <c:pt idx="8">
                  <c:v>1.5083735586999569E-3</c:v>
                </c:pt>
                <c:pt idx="9">
                  <c:v>3.4609276839347226E-3</c:v>
                </c:pt>
                <c:pt idx="10">
                  <c:v>1.3248914979039442E-2</c:v>
                </c:pt>
                <c:pt idx="11">
                  <c:v>8.9772730085784756E-3</c:v>
                </c:pt>
                <c:pt idx="12">
                  <c:v>1.3325183251779486E-3</c:v>
                </c:pt>
              </c:numCache>
            </c:numRef>
          </c:val>
          <c:extLst>
            <c:ext xmlns:c16="http://schemas.microsoft.com/office/drawing/2014/chart" uri="{C3380CC4-5D6E-409C-BE32-E72D297353CC}">
              <c16:uniqueId val="{00000000-C3B8-4265-A742-DE46FAE74117}"/>
            </c:ext>
          </c:extLst>
        </c:ser>
        <c:dLbls>
          <c:showLegendKey val="0"/>
          <c:showVal val="0"/>
          <c:showCatName val="0"/>
          <c:showSerName val="0"/>
          <c:showPercent val="0"/>
          <c:showBubbleSize val="0"/>
        </c:dLbls>
        <c:axId val="388166448"/>
        <c:axId val="982985679"/>
      </c:radarChart>
      <c:catAx>
        <c:axId val="388166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982985679"/>
        <c:crosses val="autoZero"/>
        <c:auto val="1"/>
        <c:lblAlgn val="ctr"/>
        <c:lblOffset val="100"/>
        <c:noMultiLvlLbl val="0"/>
      </c:catAx>
      <c:valAx>
        <c:axId val="98298567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vert="horz"/>
          <a:lstStyle/>
          <a:p>
            <a:pPr>
              <a:defRPr/>
            </a:pPr>
            <a:endParaRPr lang="en-US"/>
          </a:p>
        </c:txPr>
        <c:crossAx val="388166448"/>
        <c:crosses val="autoZero"/>
        <c:crossBetween val="between"/>
      </c:valAx>
    </c:plotArea>
    <c:plotVisOnly val="1"/>
    <c:dispBlanksAs val="gap"/>
    <c:showDLblsOverMax val="0"/>
    <c:extLst/>
  </c:chart>
  <c:spPr>
    <a:ln>
      <a:noFill/>
    </a:ln>
  </c:spPr>
  <c:txPr>
    <a:bodyPr/>
    <a:lstStyle/>
    <a:p>
      <a:pPr>
        <a:defRPr sz="1400" b="0">
          <a:solidFill>
            <a:sysClr val="windowText" lastClr="000000"/>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n-US"/>
        </a:p>
      </c:txPr>
    </c:title>
    <c:autoTitleDeleted val="0"/>
    <c:plotArea>
      <c:layout/>
      <c:radarChart>
        <c:radarStyle val="marker"/>
        <c:varyColors val="0"/>
        <c:ser>
          <c:idx val="0"/>
          <c:order val="0"/>
          <c:tx>
            <c:strRef>
              <c:f>'6 LCA'!$B$115</c:f>
              <c:strCache>
                <c:ptCount val="1"/>
                <c:pt idx="0">
                  <c:v>Human carcinogenic toxicity</c:v>
                </c:pt>
              </c:strCache>
            </c:strRef>
          </c:tx>
          <c:spPr>
            <a:ln w="28575" cap="rnd">
              <a:solidFill>
                <a:schemeClr val="accent1"/>
              </a:solidFill>
              <a:round/>
            </a:ln>
            <a:effectLst/>
          </c:spPr>
          <c:marker>
            <c:symbol val="none"/>
          </c:marker>
          <c:cat>
            <c:strRef>
              <c:f>'6 LCA'!$C$70:$O$70</c:f>
              <c:strCache>
                <c:ptCount val="13"/>
                <c:pt idx="0">
                  <c:v>Batteries</c:v>
                </c:pt>
                <c:pt idx="1">
                  <c:v>PV</c:v>
                </c:pt>
                <c:pt idx="2">
                  <c:v>Cooling system</c:v>
                </c:pt>
                <c:pt idx="3">
                  <c:v>Foundations</c:v>
                </c:pt>
                <c:pt idx="4">
                  <c:v>Timber structure</c:v>
                </c:pt>
                <c:pt idx="5">
                  <c:v>Vapour barrier</c:v>
                </c:pt>
                <c:pt idx="6">
                  <c:v>Insulated panels</c:v>
                </c:pt>
                <c:pt idx="7">
                  <c:v>External planting</c:v>
                </c:pt>
                <c:pt idx="8">
                  <c:v>Rainwater tank</c:v>
                </c:pt>
                <c:pt idx="9">
                  <c:v>Door</c:v>
                </c:pt>
                <c:pt idx="10">
                  <c:v>Ecoboards</c:v>
                </c:pt>
                <c:pt idx="11">
                  <c:v>Timber boards</c:v>
                </c:pt>
                <c:pt idx="12">
                  <c:v>Charcoal cooler</c:v>
                </c:pt>
              </c:strCache>
            </c:strRef>
          </c:cat>
          <c:val>
            <c:numRef>
              <c:f>'6 LCA'!$C$115:$O$115</c:f>
              <c:numCache>
                <c:formatCode>General</c:formatCode>
                <c:ptCount val="13"/>
                <c:pt idx="0">
                  <c:v>0.13168512934283513</c:v>
                </c:pt>
                <c:pt idx="1">
                  <c:v>0.91999827007596724</c:v>
                </c:pt>
                <c:pt idx="2">
                  <c:v>1</c:v>
                </c:pt>
                <c:pt idx="3">
                  <c:v>0.8144442049490942</c:v>
                </c:pt>
                <c:pt idx="4">
                  <c:v>7.9039234270366701E-3</c:v>
                </c:pt>
                <c:pt idx="5">
                  <c:v>5.4070560311473082E-3</c:v>
                </c:pt>
                <c:pt idx="6">
                  <c:v>5.9292334124122693E-2</c:v>
                </c:pt>
                <c:pt idx="7">
                  <c:v>1.0633381771538012E-5</c:v>
                </c:pt>
                <c:pt idx="8">
                  <c:v>1.1135840336815434E-2</c:v>
                </c:pt>
                <c:pt idx="9">
                  <c:v>0.15476193441703337</c:v>
                </c:pt>
                <c:pt idx="10">
                  <c:v>5.6269027236543957E-2</c:v>
                </c:pt>
                <c:pt idx="11">
                  <c:v>4.9256856560216625E-2</c:v>
                </c:pt>
                <c:pt idx="12">
                  <c:v>8.0037783229636207E-3</c:v>
                </c:pt>
              </c:numCache>
            </c:numRef>
          </c:val>
          <c:extLst>
            <c:ext xmlns:c16="http://schemas.microsoft.com/office/drawing/2014/chart" uri="{C3380CC4-5D6E-409C-BE32-E72D297353CC}">
              <c16:uniqueId val="{00000000-ACBF-4C63-B834-9822D1956DF6}"/>
            </c:ext>
          </c:extLst>
        </c:ser>
        <c:dLbls>
          <c:showLegendKey val="0"/>
          <c:showVal val="0"/>
          <c:showCatName val="0"/>
          <c:showSerName val="0"/>
          <c:showPercent val="0"/>
          <c:showBubbleSize val="0"/>
        </c:dLbls>
        <c:axId val="388166448"/>
        <c:axId val="982985679"/>
      </c:radarChart>
      <c:catAx>
        <c:axId val="388166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982985679"/>
        <c:crosses val="autoZero"/>
        <c:auto val="1"/>
        <c:lblAlgn val="ctr"/>
        <c:lblOffset val="100"/>
        <c:noMultiLvlLbl val="0"/>
      </c:catAx>
      <c:valAx>
        <c:axId val="98298567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388166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solidFill>
            <a:sysClr val="windowText" lastClr="000000"/>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radarChart>
        <c:radarStyle val="marker"/>
        <c:varyColors val="0"/>
        <c:ser>
          <c:idx val="4"/>
          <c:order val="0"/>
          <c:tx>
            <c:strRef>
              <c:f>'6 LCA'!$B$116</c:f>
              <c:strCache>
                <c:ptCount val="1"/>
                <c:pt idx="0">
                  <c:v>Land use</c:v>
                </c:pt>
              </c:strCache>
            </c:strRef>
          </c:tx>
          <c:marker>
            <c:symbol val="none"/>
          </c:marker>
          <c:cat>
            <c:strRef>
              <c:f>'6 LCA'!$C$70:$O$70</c:f>
              <c:strCache>
                <c:ptCount val="13"/>
                <c:pt idx="0">
                  <c:v>Batteries</c:v>
                </c:pt>
                <c:pt idx="1">
                  <c:v>PV</c:v>
                </c:pt>
                <c:pt idx="2">
                  <c:v>Cooling system</c:v>
                </c:pt>
                <c:pt idx="3">
                  <c:v>Foundations</c:v>
                </c:pt>
                <c:pt idx="4">
                  <c:v>Timber structure</c:v>
                </c:pt>
                <c:pt idx="5">
                  <c:v>Vapour barrier</c:v>
                </c:pt>
                <c:pt idx="6">
                  <c:v>Insulated panels</c:v>
                </c:pt>
                <c:pt idx="7">
                  <c:v>External planting</c:v>
                </c:pt>
                <c:pt idx="8">
                  <c:v>Rainwater tank</c:v>
                </c:pt>
                <c:pt idx="9">
                  <c:v>Door</c:v>
                </c:pt>
                <c:pt idx="10">
                  <c:v>Ecoboards</c:v>
                </c:pt>
                <c:pt idx="11">
                  <c:v>Timber boards</c:v>
                </c:pt>
                <c:pt idx="12">
                  <c:v>Charcoal cooler</c:v>
                </c:pt>
              </c:strCache>
            </c:strRef>
          </c:cat>
          <c:val>
            <c:numRef>
              <c:f>'6 LCA'!$C$116:$O$116</c:f>
              <c:numCache>
                <c:formatCode>General</c:formatCode>
                <c:ptCount val="13"/>
                <c:pt idx="0">
                  <c:v>2.0801695622562804E-3</c:v>
                </c:pt>
                <c:pt idx="1">
                  <c:v>1.881613950000887E-2</c:v>
                </c:pt>
                <c:pt idx="2">
                  <c:v>4.3937923513668467E-3</c:v>
                </c:pt>
                <c:pt idx="3">
                  <c:v>1.8231893896639624E-3</c:v>
                </c:pt>
                <c:pt idx="4">
                  <c:v>9.6167821313640656E-2</c:v>
                </c:pt>
                <c:pt idx="5">
                  <c:v>2.5397279102866438E-4</c:v>
                </c:pt>
                <c:pt idx="6">
                  <c:v>1</c:v>
                </c:pt>
                <c:pt idx="7">
                  <c:v>7.6905924819477547E-5</c:v>
                </c:pt>
                <c:pt idx="8">
                  <c:v>1.0029899077810826E-3</c:v>
                </c:pt>
                <c:pt idx="9">
                  <c:v>3.0733640780928999E-4</c:v>
                </c:pt>
                <c:pt idx="10">
                  <c:v>3.8761178232903436E-3</c:v>
                </c:pt>
                <c:pt idx="11">
                  <c:v>0.17066656533421334</c:v>
                </c:pt>
                <c:pt idx="12">
                  <c:v>7.3863050074910478E-3</c:v>
                </c:pt>
              </c:numCache>
            </c:numRef>
          </c:val>
          <c:extLst>
            <c:ext xmlns:c16="http://schemas.microsoft.com/office/drawing/2014/chart" uri="{C3380CC4-5D6E-409C-BE32-E72D297353CC}">
              <c16:uniqueId val="{00000000-A0B1-465F-A1FE-2EA1DB7487A1}"/>
            </c:ext>
          </c:extLst>
        </c:ser>
        <c:dLbls>
          <c:showLegendKey val="0"/>
          <c:showVal val="0"/>
          <c:showCatName val="0"/>
          <c:showSerName val="0"/>
          <c:showPercent val="0"/>
          <c:showBubbleSize val="0"/>
        </c:dLbls>
        <c:axId val="388166448"/>
        <c:axId val="982985679"/>
      </c:radarChart>
      <c:catAx>
        <c:axId val="388166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982985679"/>
        <c:crosses val="autoZero"/>
        <c:auto val="1"/>
        <c:lblAlgn val="ctr"/>
        <c:lblOffset val="100"/>
        <c:noMultiLvlLbl val="0"/>
      </c:catAx>
      <c:valAx>
        <c:axId val="98298567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vert="horz"/>
          <a:lstStyle/>
          <a:p>
            <a:pPr>
              <a:defRPr/>
            </a:pPr>
            <a:endParaRPr lang="en-US"/>
          </a:p>
        </c:txPr>
        <c:crossAx val="388166448"/>
        <c:crosses val="autoZero"/>
        <c:crossBetween val="between"/>
      </c:valAx>
    </c:plotArea>
    <c:plotVisOnly val="1"/>
    <c:dispBlanksAs val="gap"/>
    <c:showDLblsOverMax val="0"/>
    <c:extLst/>
  </c:chart>
  <c:spPr>
    <a:ln>
      <a:noFill/>
    </a:ln>
  </c:spPr>
  <c:txPr>
    <a:bodyPr/>
    <a:lstStyle/>
    <a:p>
      <a:pPr>
        <a:defRPr sz="1400" b="0">
          <a:solidFill>
            <a:sysClr val="windowText" lastClr="000000"/>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radarChart>
        <c:radarStyle val="marker"/>
        <c:varyColors val="0"/>
        <c:ser>
          <c:idx val="5"/>
          <c:order val="0"/>
          <c:tx>
            <c:strRef>
              <c:f>'6 LCA'!$B$117</c:f>
              <c:strCache>
                <c:ptCount val="1"/>
                <c:pt idx="0">
                  <c:v>Water use</c:v>
                </c:pt>
              </c:strCache>
            </c:strRef>
          </c:tx>
          <c:marker>
            <c:symbol val="none"/>
          </c:marker>
          <c:cat>
            <c:strRef>
              <c:f>'6 LCA'!$C$70:$O$70</c:f>
              <c:strCache>
                <c:ptCount val="13"/>
                <c:pt idx="0">
                  <c:v>Batteries</c:v>
                </c:pt>
                <c:pt idx="1">
                  <c:v>PV</c:v>
                </c:pt>
                <c:pt idx="2">
                  <c:v>Cooling system</c:v>
                </c:pt>
                <c:pt idx="3">
                  <c:v>Foundations</c:v>
                </c:pt>
                <c:pt idx="4">
                  <c:v>Timber structure</c:v>
                </c:pt>
                <c:pt idx="5">
                  <c:v>Vapour barrier</c:v>
                </c:pt>
                <c:pt idx="6">
                  <c:v>Insulated panels</c:v>
                </c:pt>
                <c:pt idx="7">
                  <c:v>External planting</c:v>
                </c:pt>
                <c:pt idx="8">
                  <c:v>Rainwater tank</c:v>
                </c:pt>
                <c:pt idx="9">
                  <c:v>Door</c:v>
                </c:pt>
                <c:pt idx="10">
                  <c:v>Ecoboards</c:v>
                </c:pt>
                <c:pt idx="11">
                  <c:v>Timber boards</c:v>
                </c:pt>
                <c:pt idx="12">
                  <c:v>Charcoal cooler</c:v>
                </c:pt>
              </c:strCache>
            </c:strRef>
          </c:cat>
          <c:val>
            <c:numRef>
              <c:f>'6 LCA'!$C$117:$O$117</c:f>
              <c:numCache>
                <c:formatCode>General</c:formatCode>
                <c:ptCount val="13"/>
                <c:pt idx="0">
                  <c:v>1.3766661270520644E-2</c:v>
                </c:pt>
                <c:pt idx="1">
                  <c:v>1</c:v>
                </c:pt>
                <c:pt idx="2">
                  <c:v>5.7643176274684245E-2</c:v>
                </c:pt>
                <c:pt idx="3">
                  <c:v>1.5876210204851915E-2</c:v>
                </c:pt>
                <c:pt idx="4">
                  <c:v>1.2311882923604707E-3</c:v>
                </c:pt>
                <c:pt idx="5">
                  <c:v>4.3680896219617836E-3</c:v>
                </c:pt>
                <c:pt idx="6">
                  <c:v>2.8523872513398257E-2</c:v>
                </c:pt>
                <c:pt idx="7">
                  <c:v>7.2912139009078353E-6</c:v>
                </c:pt>
                <c:pt idx="8">
                  <c:v>4.5383075230285303E-3</c:v>
                </c:pt>
                <c:pt idx="9">
                  <c:v>1.1334460001764225E-2</c:v>
                </c:pt>
                <c:pt idx="10">
                  <c:v>3.7747278103981811E-2</c:v>
                </c:pt>
                <c:pt idx="11">
                  <c:v>1.2581144718791563E-2</c:v>
                </c:pt>
                <c:pt idx="12">
                  <c:v>4.1934119694345589E-3</c:v>
                </c:pt>
              </c:numCache>
            </c:numRef>
          </c:val>
          <c:extLst>
            <c:ext xmlns:c16="http://schemas.microsoft.com/office/drawing/2014/chart" uri="{C3380CC4-5D6E-409C-BE32-E72D297353CC}">
              <c16:uniqueId val="{00000000-6867-4DAB-9407-7D8F490D62DF}"/>
            </c:ext>
          </c:extLst>
        </c:ser>
        <c:dLbls>
          <c:showLegendKey val="0"/>
          <c:showVal val="0"/>
          <c:showCatName val="0"/>
          <c:showSerName val="0"/>
          <c:showPercent val="0"/>
          <c:showBubbleSize val="0"/>
        </c:dLbls>
        <c:axId val="388166448"/>
        <c:axId val="982985679"/>
      </c:radarChart>
      <c:catAx>
        <c:axId val="388166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982985679"/>
        <c:crosses val="autoZero"/>
        <c:auto val="1"/>
        <c:lblAlgn val="ctr"/>
        <c:lblOffset val="100"/>
        <c:noMultiLvlLbl val="0"/>
      </c:catAx>
      <c:valAx>
        <c:axId val="98298567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vert="horz"/>
          <a:lstStyle/>
          <a:p>
            <a:pPr>
              <a:defRPr/>
            </a:pPr>
            <a:endParaRPr lang="en-US"/>
          </a:p>
        </c:txPr>
        <c:crossAx val="388166448"/>
        <c:crosses val="autoZero"/>
        <c:crossBetween val="between"/>
      </c:valAx>
    </c:plotArea>
    <c:plotVisOnly val="1"/>
    <c:dispBlanksAs val="gap"/>
    <c:showDLblsOverMax val="0"/>
    <c:extLst/>
  </c:chart>
  <c:spPr>
    <a:ln>
      <a:noFill/>
    </a:ln>
  </c:spPr>
  <c:txPr>
    <a:bodyPr/>
    <a:lstStyle/>
    <a:p>
      <a:pPr>
        <a:defRPr sz="1400" b="0">
          <a:solidFill>
            <a:sysClr val="windowText" lastClr="000000"/>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'6 LCA'!$C$70:$O$70</c:f>
              <c:strCache>
                <c:ptCount val="13"/>
                <c:pt idx="0">
                  <c:v>Batteries</c:v>
                </c:pt>
                <c:pt idx="1">
                  <c:v>PV</c:v>
                </c:pt>
                <c:pt idx="2">
                  <c:v>Cooling system</c:v>
                </c:pt>
                <c:pt idx="3">
                  <c:v>Foundations</c:v>
                </c:pt>
                <c:pt idx="4">
                  <c:v>Timber structure</c:v>
                </c:pt>
                <c:pt idx="5">
                  <c:v>Vapour barrier</c:v>
                </c:pt>
                <c:pt idx="6">
                  <c:v>Insulated panels</c:v>
                </c:pt>
                <c:pt idx="7">
                  <c:v>External planting</c:v>
                </c:pt>
                <c:pt idx="8">
                  <c:v>Rainwater tank</c:v>
                </c:pt>
                <c:pt idx="9">
                  <c:v>Door</c:v>
                </c:pt>
                <c:pt idx="10">
                  <c:v>Ecoboards</c:v>
                </c:pt>
                <c:pt idx="11">
                  <c:v>Timber boards</c:v>
                </c:pt>
                <c:pt idx="12">
                  <c:v>Charcoal cooler</c:v>
                </c:pt>
              </c:strCache>
            </c:strRef>
          </c:cat>
          <c:val>
            <c:numRef>
              <c:f>'6 LCA'!$C$72:$O$72</c:f>
              <c:numCache>
                <c:formatCode>General</c:formatCode>
                <c:ptCount val="13"/>
                <c:pt idx="0">
                  <c:v>446.82900000000006</c:v>
                </c:pt>
                <c:pt idx="1">
                  <c:v>2735.3348382238937</c:v>
                </c:pt>
                <c:pt idx="2">
                  <c:v>788.70612000000006</c:v>
                </c:pt>
                <c:pt idx="3">
                  <c:v>402.64703408923742</c:v>
                </c:pt>
                <c:pt idx="4">
                  <c:v>37.370387370032645</c:v>
                </c:pt>
                <c:pt idx="5">
                  <c:v>47.548627199999999</c:v>
                </c:pt>
                <c:pt idx="6">
                  <c:v>258.74395714285714</c:v>
                </c:pt>
                <c:pt idx="7">
                  <c:v>0.1974234028680491</c:v>
                </c:pt>
                <c:pt idx="8">
                  <c:v>102.66036190902507</c:v>
                </c:pt>
                <c:pt idx="9">
                  <c:v>11.861733245684524</c:v>
                </c:pt>
                <c:pt idx="10">
                  <c:v>443.49443842859995</c:v>
                </c:pt>
                <c:pt idx="11">
                  <c:v>311.3143</c:v>
                </c:pt>
                <c:pt idx="12">
                  <c:v>78.322379999999995</c:v>
                </c:pt>
              </c:numCache>
            </c:numRef>
          </c:val>
          <c:extLst>
            <c:ext xmlns:c16="http://schemas.microsoft.com/office/drawing/2014/chart" uri="{C3380CC4-5D6E-409C-BE32-E72D297353CC}">
              <c16:uniqueId val="{00000000-E44F-4471-B1C3-A82E30D4432F}"/>
            </c:ext>
          </c:extLst>
        </c:ser>
        <c:ser>
          <c:idx val="1"/>
          <c:order val="1"/>
          <c:spPr>
            <a:solidFill>
              <a:schemeClr val="accent6"/>
            </a:solidFill>
            <a:ln>
              <a:noFill/>
            </a:ln>
            <a:effectLst/>
          </c:spPr>
          <c:invertIfNegative val="0"/>
          <c:cat>
            <c:strRef>
              <c:f>'6 LCA'!$C$70:$O$70</c:f>
              <c:strCache>
                <c:ptCount val="13"/>
                <c:pt idx="0">
                  <c:v>Batteries</c:v>
                </c:pt>
                <c:pt idx="1">
                  <c:v>PV</c:v>
                </c:pt>
                <c:pt idx="2">
                  <c:v>Cooling system</c:v>
                </c:pt>
                <c:pt idx="3">
                  <c:v>Foundations</c:v>
                </c:pt>
                <c:pt idx="4">
                  <c:v>Timber structure</c:v>
                </c:pt>
                <c:pt idx="5">
                  <c:v>Vapour barrier</c:v>
                </c:pt>
                <c:pt idx="6">
                  <c:v>Insulated panels</c:v>
                </c:pt>
                <c:pt idx="7">
                  <c:v>External planting</c:v>
                </c:pt>
                <c:pt idx="8">
                  <c:v>Rainwater tank</c:v>
                </c:pt>
                <c:pt idx="9">
                  <c:v>Door</c:v>
                </c:pt>
                <c:pt idx="10">
                  <c:v>Ecoboards</c:v>
                </c:pt>
                <c:pt idx="11">
                  <c:v>Timber boards</c:v>
                </c:pt>
                <c:pt idx="12">
                  <c:v>Charcoal cooler</c:v>
                </c:pt>
              </c:strCache>
            </c:strRef>
          </c:cat>
          <c:val>
            <c:numRef>
              <c:f>'6 LCA'!$C$89:$O$89</c:f>
              <c:numCache>
                <c:formatCode>General</c:formatCode>
                <c:ptCount val="13"/>
                <c:pt idx="4">
                  <c:v>-717.04144512000005</c:v>
                </c:pt>
                <c:pt idx="6">
                  <c:v>-1347.3216</c:v>
                </c:pt>
                <c:pt idx="7">
                  <c:v>-71.054401929608105</c:v>
                </c:pt>
                <c:pt idx="10">
                  <c:v>0</c:v>
                </c:pt>
                <c:pt idx="11">
                  <c:v>-1045.24992</c:v>
                </c:pt>
                <c:pt idx="12">
                  <c:v>-51.324000000000005</c:v>
                </c:pt>
              </c:numCache>
            </c:numRef>
          </c:val>
          <c:extLst>
            <c:ext xmlns:c16="http://schemas.microsoft.com/office/drawing/2014/chart" uri="{C3380CC4-5D6E-409C-BE32-E72D297353CC}">
              <c16:uniqueId val="{00000001-E44F-4471-B1C3-A82E30D4432F}"/>
            </c:ext>
          </c:extLst>
        </c:ser>
        <c:dLbls>
          <c:showLegendKey val="0"/>
          <c:showVal val="0"/>
          <c:showCatName val="0"/>
          <c:showSerName val="0"/>
          <c:showPercent val="0"/>
          <c:showBubbleSize val="0"/>
        </c:dLbls>
        <c:gapWidth val="150"/>
        <c:axId val="1939570288"/>
        <c:axId val="2080023856"/>
      </c:barChart>
      <c:catAx>
        <c:axId val="193957028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080023856"/>
        <c:crosses val="autoZero"/>
        <c:auto val="1"/>
        <c:lblAlgn val="ctr"/>
        <c:lblOffset val="100"/>
        <c:noMultiLvlLbl val="0"/>
      </c:catAx>
      <c:valAx>
        <c:axId val="20800238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Net emissions (kgCO</a:t>
                </a:r>
                <a:r>
                  <a:rPr lang="en-GB" baseline="-25000"/>
                  <a:t>2</a:t>
                </a:r>
                <a:r>
                  <a:rPr lang="en-GB"/>
                  <a:t>e)</a:t>
                </a:r>
              </a:p>
            </c:rich>
          </c:tx>
          <c:overlay val="0"/>
          <c:spPr>
            <a:noFill/>
            <a:ln>
              <a:noFill/>
            </a:ln>
            <a:effectLst/>
          </c:spPr>
          <c:txPr>
            <a:bodyPr rot="-54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9395702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19050" cap="flat" cmpd="sng" algn="ctr">
      <a:noFill/>
      <a:round/>
    </a:ln>
    <a:effectLst/>
  </c:spPr>
  <c:txPr>
    <a:bodyPr/>
    <a:lstStyle/>
    <a:p>
      <a:pPr>
        <a:defRPr sz="7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17629773022559"/>
          <c:y val="6.0601092896174873E-2"/>
          <c:w val="0.82116850219303994"/>
          <c:h val="0.69675788477260026"/>
        </c:manualLayout>
      </c:layout>
      <c:barChart>
        <c:barDir val="bar"/>
        <c:grouping val="clustered"/>
        <c:varyColors val="0"/>
        <c:ser>
          <c:idx val="0"/>
          <c:order val="0"/>
          <c:tx>
            <c:strRef>
              <c:f>Transport!$D$1</c:f>
              <c:strCache>
                <c:ptCount val="1"/>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Transport!$B$2:$B$7</c:f>
              <c:strCache>
                <c:ptCount val="6"/>
                <c:pt idx="0">
                  <c:v>Air</c:v>
                </c:pt>
                <c:pt idx="1">
                  <c:v>Sea</c:v>
                </c:pt>
                <c:pt idx="2">
                  <c:v>Road (EU)</c:v>
                </c:pt>
                <c:pt idx="3">
                  <c:v>Road (Africa)</c:v>
                </c:pt>
                <c:pt idx="4">
                  <c:v>Rail (EU)</c:v>
                </c:pt>
                <c:pt idx="5">
                  <c:v>Rail (Africa)</c:v>
                </c:pt>
              </c:strCache>
            </c:strRef>
          </c:cat>
          <c:val>
            <c:numRef>
              <c:f>Transport!$D$2:$D$7</c:f>
              <c:numCache>
                <c:formatCode>General</c:formatCode>
                <c:ptCount val="6"/>
                <c:pt idx="0">
                  <c:v>0.84000000000000008</c:v>
                </c:pt>
                <c:pt idx="1">
                  <c:v>1.0336399999999999E-2</c:v>
                </c:pt>
                <c:pt idx="2">
                  <c:v>0.19</c:v>
                </c:pt>
                <c:pt idx="3">
                  <c:v>0.2</c:v>
                </c:pt>
                <c:pt idx="4">
                  <c:v>4.8346900000000005E-2</c:v>
                </c:pt>
                <c:pt idx="5">
                  <c:v>3.4297399999999999E-2</c:v>
                </c:pt>
              </c:numCache>
            </c:numRef>
          </c:val>
          <c:extLst>
            <c:ext xmlns:c16="http://schemas.microsoft.com/office/drawing/2014/chart" uri="{C3380CC4-5D6E-409C-BE32-E72D297353CC}">
              <c16:uniqueId val="{00000000-329F-4E89-B7F7-D3F8636E030F}"/>
            </c:ext>
          </c:extLst>
        </c:ser>
        <c:dLbls>
          <c:showLegendKey val="0"/>
          <c:showVal val="0"/>
          <c:showCatName val="0"/>
          <c:showSerName val="0"/>
          <c:showPercent val="0"/>
          <c:showBubbleSize val="0"/>
        </c:dLbls>
        <c:gapWidth val="182"/>
        <c:axId val="1099334063"/>
        <c:axId val="982976559"/>
      </c:barChart>
      <c:catAx>
        <c:axId val="109933406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982976559"/>
        <c:crosses val="autoZero"/>
        <c:auto val="1"/>
        <c:lblAlgn val="ctr"/>
        <c:lblOffset val="100"/>
        <c:noMultiLvlLbl val="0"/>
      </c:catAx>
      <c:valAx>
        <c:axId val="982976559"/>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en-GB"/>
                  <a:t>Greenhouse gas emissions per tonne.km (kgCO2e/tkm)</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09933406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solidFill>
              <a:ln>
                <a:noFill/>
              </a:ln>
              <a:effectLst/>
            </c:spPr>
            <c:extLst>
              <c:ext xmlns:c16="http://schemas.microsoft.com/office/drawing/2014/chart" uri="{C3380CC4-5D6E-409C-BE32-E72D297353CC}">
                <c16:uniqueId val="{00000001-7A67-432A-9371-07553E179C04}"/>
              </c:ext>
            </c:extLst>
          </c:dPt>
          <c:cat>
            <c:strRef>
              <c:extLst>
                <c:ext xmlns:c15="http://schemas.microsoft.com/office/drawing/2012/chart" uri="{02D57815-91ED-43cb-92C2-25804820EDAC}">
                  <c15:fullRef>
                    <c15:sqref>PV!$B$1:$E$1</c15:sqref>
                  </c15:fullRef>
                </c:ext>
              </c:extLst>
              <c:f>PV!$C$1:$E$1</c:f>
              <c:strCache>
                <c:ptCount val="3"/>
                <c:pt idx="0">
                  <c:v>Ecoinvent multi-Si wafer</c:v>
                </c:pt>
                <c:pt idx="1">
                  <c:v>Ecoinvent single-Si wafer</c:v>
                </c:pt>
                <c:pt idx="2">
                  <c:v>Futurasun FU-400 Silk</c:v>
                </c:pt>
              </c:strCache>
            </c:strRef>
          </c:cat>
          <c:val>
            <c:numRef>
              <c:extLst>
                <c:ext xmlns:c15="http://schemas.microsoft.com/office/drawing/2012/chart" uri="{02D57815-91ED-43cb-92C2-25804820EDAC}">
                  <c15:fullRef>
                    <c15:sqref>PV!$B$3:$E$3</c15:sqref>
                  </c15:fullRef>
                </c:ext>
              </c:extLst>
              <c:f>PV!$C$3:$E$3</c:f>
              <c:numCache>
                <c:formatCode>General</c:formatCode>
                <c:ptCount val="3"/>
                <c:pt idx="0">
                  <c:v>219.29619</c:v>
                </c:pt>
                <c:pt idx="1">
                  <c:v>283.36128000000002</c:v>
                </c:pt>
                <c:pt idx="2" formatCode="0.00">
                  <c:v>140.73548251820816</c:v>
                </c:pt>
              </c:numCache>
            </c:numRef>
          </c:val>
          <c:extLst>
            <c:ext xmlns:c16="http://schemas.microsoft.com/office/drawing/2014/chart" uri="{C3380CC4-5D6E-409C-BE32-E72D297353CC}">
              <c16:uniqueId val="{00000002-7A67-432A-9371-07553E179C04}"/>
            </c:ext>
          </c:extLst>
        </c:ser>
        <c:dLbls>
          <c:showLegendKey val="0"/>
          <c:showVal val="0"/>
          <c:showCatName val="0"/>
          <c:showSerName val="0"/>
          <c:showPercent val="0"/>
          <c:showBubbleSize val="0"/>
        </c:dLbls>
        <c:gapWidth val="182"/>
        <c:axId val="832041151"/>
        <c:axId val="1597441855"/>
      </c:barChart>
      <c:catAx>
        <c:axId val="83204115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597441855"/>
        <c:crosses val="autoZero"/>
        <c:auto val="1"/>
        <c:lblAlgn val="ctr"/>
        <c:lblOffset val="100"/>
        <c:noMultiLvlLbl val="0"/>
      </c:catAx>
      <c:valAx>
        <c:axId val="1597441855"/>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GB"/>
                  <a:t>kgCO</a:t>
                </a:r>
                <a:r>
                  <a:rPr lang="en-GB" baseline="-25000"/>
                  <a:t>2</a:t>
                </a:r>
                <a:r>
                  <a:rPr lang="en-GB"/>
                  <a:t>e per m</a:t>
                </a:r>
                <a:r>
                  <a:rPr lang="en-GB" baseline="30000"/>
                  <a:t>2</a:t>
                </a:r>
                <a:r>
                  <a:rPr lang="en-GB"/>
                  <a:t> panel</a:t>
                </a:r>
              </a:p>
            </c:rich>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8320411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cat>
            <c:strRef>
              <c:f>('6 LCA'!$C$70:$O$70,'6 LCA'!$R$70)</c:f>
              <c:strCache>
                <c:ptCount val="14"/>
                <c:pt idx="0">
                  <c:v>Batteries</c:v>
                </c:pt>
                <c:pt idx="1">
                  <c:v>PV</c:v>
                </c:pt>
                <c:pt idx="2">
                  <c:v>Cooling system</c:v>
                </c:pt>
                <c:pt idx="3">
                  <c:v>Foundations</c:v>
                </c:pt>
                <c:pt idx="4">
                  <c:v>Timber structure</c:v>
                </c:pt>
                <c:pt idx="5">
                  <c:v>Vapour barrier</c:v>
                </c:pt>
                <c:pt idx="6">
                  <c:v>Insulated panels</c:v>
                </c:pt>
                <c:pt idx="7">
                  <c:v>External planting</c:v>
                </c:pt>
                <c:pt idx="8">
                  <c:v>Rainwater tank</c:v>
                </c:pt>
                <c:pt idx="9">
                  <c:v>Door</c:v>
                </c:pt>
                <c:pt idx="10">
                  <c:v>Ecoboards</c:v>
                </c:pt>
                <c:pt idx="11">
                  <c:v>Timber boards</c:v>
                </c:pt>
                <c:pt idx="12">
                  <c:v>Charcoal cooler</c:v>
                </c:pt>
                <c:pt idx="13">
                  <c:v>Transport</c:v>
                </c:pt>
              </c:strCache>
            </c:strRef>
          </c:cat>
          <c:val>
            <c:numRef>
              <c:f>('6 LCA'!$C$72:$O$72,'6 LCA'!$R$72)</c:f>
              <c:numCache>
                <c:formatCode>General</c:formatCode>
                <c:ptCount val="14"/>
                <c:pt idx="0">
                  <c:v>446.82900000000006</c:v>
                </c:pt>
                <c:pt idx="1">
                  <c:v>2735.3348382238937</c:v>
                </c:pt>
                <c:pt idx="2">
                  <c:v>788.70612000000006</c:v>
                </c:pt>
                <c:pt idx="3">
                  <c:v>402.64703408923742</c:v>
                </c:pt>
                <c:pt idx="4">
                  <c:v>37.370387370032645</c:v>
                </c:pt>
                <c:pt idx="5">
                  <c:v>47.548627199999999</c:v>
                </c:pt>
                <c:pt idx="6">
                  <c:v>258.74395714285714</c:v>
                </c:pt>
                <c:pt idx="7">
                  <c:v>0.1974234028680491</c:v>
                </c:pt>
                <c:pt idx="8">
                  <c:v>102.66036190902507</c:v>
                </c:pt>
                <c:pt idx="9">
                  <c:v>11.861733245684524</c:v>
                </c:pt>
                <c:pt idx="10">
                  <c:v>443.49443842859995</c:v>
                </c:pt>
                <c:pt idx="11">
                  <c:v>311.3143</c:v>
                </c:pt>
                <c:pt idx="12">
                  <c:v>78.322379999999995</c:v>
                </c:pt>
                <c:pt idx="13">
                  <c:v>249.96184094610558</c:v>
                </c:pt>
              </c:numCache>
            </c:numRef>
          </c:val>
          <c:extLst>
            <c:ext xmlns:c16="http://schemas.microsoft.com/office/drawing/2014/chart" uri="{C3380CC4-5D6E-409C-BE32-E72D297353CC}">
              <c16:uniqueId val="{00000000-17D8-4097-AF61-CEEE8B5CF574}"/>
            </c:ext>
          </c:extLst>
        </c:ser>
        <c:ser>
          <c:idx val="1"/>
          <c:order val="1"/>
          <c:spPr>
            <a:solidFill>
              <a:schemeClr val="accent6"/>
            </a:solidFill>
            <a:ln>
              <a:noFill/>
            </a:ln>
            <a:effectLst/>
          </c:spPr>
          <c:invertIfNegative val="0"/>
          <c:cat>
            <c:strRef>
              <c:f>('6 LCA'!$C$70:$O$70,'6 LCA'!$R$70)</c:f>
              <c:strCache>
                <c:ptCount val="14"/>
                <c:pt idx="0">
                  <c:v>Batteries</c:v>
                </c:pt>
                <c:pt idx="1">
                  <c:v>PV</c:v>
                </c:pt>
                <c:pt idx="2">
                  <c:v>Cooling system</c:v>
                </c:pt>
                <c:pt idx="3">
                  <c:v>Foundations</c:v>
                </c:pt>
                <c:pt idx="4">
                  <c:v>Timber structure</c:v>
                </c:pt>
                <c:pt idx="5">
                  <c:v>Vapour barrier</c:v>
                </c:pt>
                <c:pt idx="6">
                  <c:v>Insulated panels</c:v>
                </c:pt>
                <c:pt idx="7">
                  <c:v>External planting</c:v>
                </c:pt>
                <c:pt idx="8">
                  <c:v>Rainwater tank</c:v>
                </c:pt>
                <c:pt idx="9">
                  <c:v>Door</c:v>
                </c:pt>
                <c:pt idx="10">
                  <c:v>Ecoboards</c:v>
                </c:pt>
                <c:pt idx="11">
                  <c:v>Timber boards</c:v>
                </c:pt>
                <c:pt idx="12">
                  <c:v>Charcoal cooler</c:v>
                </c:pt>
                <c:pt idx="13">
                  <c:v>Transport</c:v>
                </c:pt>
              </c:strCache>
            </c:strRef>
          </c:cat>
          <c:val>
            <c:numRef>
              <c:f>'6 LCA'!$C$89:$O$89</c:f>
              <c:numCache>
                <c:formatCode>General</c:formatCode>
                <c:ptCount val="13"/>
                <c:pt idx="4">
                  <c:v>-717.04144512000005</c:v>
                </c:pt>
                <c:pt idx="6">
                  <c:v>-1347.3216</c:v>
                </c:pt>
                <c:pt idx="7">
                  <c:v>-71.054401929608105</c:v>
                </c:pt>
                <c:pt idx="10">
                  <c:v>0</c:v>
                </c:pt>
                <c:pt idx="11">
                  <c:v>-1045.24992</c:v>
                </c:pt>
                <c:pt idx="12">
                  <c:v>-51.324000000000005</c:v>
                </c:pt>
              </c:numCache>
            </c:numRef>
          </c:val>
          <c:extLst>
            <c:ext xmlns:c16="http://schemas.microsoft.com/office/drawing/2014/chart" uri="{C3380CC4-5D6E-409C-BE32-E72D297353CC}">
              <c16:uniqueId val="{00000001-17D8-4097-AF61-CEEE8B5CF574}"/>
            </c:ext>
          </c:extLst>
        </c:ser>
        <c:dLbls>
          <c:showLegendKey val="0"/>
          <c:showVal val="0"/>
          <c:showCatName val="0"/>
          <c:showSerName val="0"/>
          <c:showPercent val="0"/>
          <c:showBubbleSize val="0"/>
        </c:dLbls>
        <c:gapWidth val="150"/>
        <c:axId val="1939570288"/>
        <c:axId val="2080023856"/>
      </c:barChart>
      <c:catAx>
        <c:axId val="1939570288"/>
        <c:scaling>
          <c:orientation val="minMax"/>
        </c:scaling>
        <c:delete val="0"/>
        <c:axPos val="l"/>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080023856"/>
        <c:crosses val="autoZero"/>
        <c:auto val="1"/>
        <c:lblAlgn val="ctr"/>
        <c:lblOffset val="100"/>
        <c:noMultiLvlLbl val="0"/>
      </c:catAx>
      <c:valAx>
        <c:axId val="20800238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Net</a:t>
                </a:r>
                <a:r>
                  <a:rPr lang="en-GB" baseline="0"/>
                  <a:t> emissions (kgCO2e)</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GB"/>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9395702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19050"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1"/>
  <c:style val="2"/>
  <c:chart>
    <c:title>
      <c:tx>
        <c:rich>
          <a:bodyPr/>
          <a:lstStyle/>
          <a:p>
            <a:pPr lvl="0">
              <a:defRPr sz="1400" b="0" i="0">
                <a:solidFill>
                  <a:srgbClr val="757575"/>
                </a:solidFill>
                <a:latin typeface="+mn-lt"/>
              </a:defRPr>
            </a:pPr>
            <a:r>
              <a:rPr lang="en-ZW" sz="1400" b="0" i="0">
                <a:solidFill>
                  <a:srgbClr val="757575"/>
                </a:solidFill>
                <a:latin typeface="+mn-lt"/>
              </a:rPr>
              <a:t>Accumulated income &amp; system costs over 20 years</a:t>
            </a:r>
          </a:p>
        </c:rich>
      </c:tx>
      <c:overlay val="0"/>
    </c:title>
    <c:autoTitleDeleted val="0"/>
    <c:plotArea>
      <c:layout>
        <c:manualLayout>
          <c:xMode val="edge"/>
          <c:yMode val="edge"/>
          <c:x val="9.6116457786894149E-2"/>
          <c:y val="0.1003983168724964"/>
          <c:w val="0.87745025611192107"/>
          <c:h val="0.77940709442249811"/>
        </c:manualLayout>
      </c:layout>
      <c:scatterChart>
        <c:scatterStyle val="lineMarker"/>
        <c:varyColors val="1"/>
        <c:ser>
          <c:idx val="0"/>
          <c:order val="0"/>
          <c:tx>
            <c:v>Accumulated income</c:v>
          </c:tx>
          <c:spPr>
            <a:ln>
              <a:noFill/>
            </a:ln>
          </c:spPr>
          <c:marker>
            <c:symbol val="circle"/>
            <c:size val="7"/>
            <c:spPr>
              <a:solidFill>
                <a:schemeClr val="accent2"/>
              </a:solidFill>
              <a:ln cmpd="sng">
                <a:solidFill>
                  <a:schemeClr val="accent2"/>
                </a:solidFill>
              </a:ln>
            </c:spPr>
          </c:marker>
          <c:xVal>
            <c:numRef>
              <c:f>'Calculation Sheet'!#REF!</c:f>
            </c:numRef>
          </c:xVal>
          <c:yVal>
            <c:numRef>
              <c:f>'Calculation Sheet'!#REF!</c:f>
              <c:numCache>
                <c:formatCode>General</c:formatCode>
                <c:ptCount val="1"/>
                <c:pt idx="0">
                  <c:v>1</c:v>
                </c:pt>
              </c:numCache>
            </c:numRef>
          </c:yVal>
          <c:smooth val="1"/>
          <c:extLst>
            <c:ext xmlns:c16="http://schemas.microsoft.com/office/drawing/2014/chart" uri="{C3380CC4-5D6E-409C-BE32-E72D297353CC}">
              <c16:uniqueId val="{00000000-0D6B-479C-8930-0550AD999DBB}"/>
            </c:ext>
          </c:extLst>
        </c:ser>
        <c:ser>
          <c:idx val="1"/>
          <c:order val="1"/>
          <c:tx>
            <c:v>Accumulated system costs without batteries</c:v>
          </c:tx>
          <c:spPr>
            <a:ln>
              <a:noFill/>
            </a:ln>
          </c:spPr>
          <c:marker>
            <c:symbol val="circle"/>
            <c:size val="7"/>
            <c:spPr>
              <a:solidFill>
                <a:schemeClr val="accent3"/>
              </a:solidFill>
              <a:ln cmpd="sng">
                <a:solidFill>
                  <a:schemeClr val="accent3"/>
                </a:solidFill>
              </a:ln>
            </c:spPr>
          </c:marker>
          <c:xVal>
            <c:numRef>
              <c:f>'Calculation Sheet'!#REF!</c:f>
            </c:numRef>
          </c:xVal>
          <c:yVal>
            <c:numRef>
              <c:f>'Calculation Sheet'!#REF!</c:f>
              <c:numCache>
                <c:formatCode>General</c:formatCode>
                <c:ptCount val="1"/>
                <c:pt idx="0">
                  <c:v>1</c:v>
                </c:pt>
              </c:numCache>
            </c:numRef>
          </c:yVal>
          <c:smooth val="1"/>
          <c:extLst>
            <c:ext xmlns:c16="http://schemas.microsoft.com/office/drawing/2014/chart" uri="{C3380CC4-5D6E-409C-BE32-E72D297353CC}">
              <c16:uniqueId val="{00000001-0D6B-479C-8930-0550AD999DBB}"/>
            </c:ext>
          </c:extLst>
        </c:ser>
        <c:ser>
          <c:idx val="2"/>
          <c:order val="2"/>
          <c:tx>
            <c:v>Accumulated system costs</c:v>
          </c:tx>
          <c:spPr>
            <a:ln>
              <a:noFill/>
            </a:ln>
          </c:spPr>
          <c:marker>
            <c:symbol val="circle"/>
            <c:size val="7"/>
            <c:spPr>
              <a:solidFill>
                <a:schemeClr val="accent1"/>
              </a:solidFill>
              <a:ln cmpd="sng">
                <a:solidFill>
                  <a:schemeClr val="accent1"/>
                </a:solidFill>
              </a:ln>
            </c:spPr>
          </c:marker>
          <c:xVal>
            <c:numRef>
              <c:f>'Calculation Sheet'!#REF!</c:f>
            </c:numRef>
          </c:xVal>
          <c:yVal>
            <c:numRef>
              <c:f>'Calculation Sheet'!#REF!</c:f>
              <c:numCache>
                <c:formatCode>General</c:formatCode>
                <c:ptCount val="1"/>
                <c:pt idx="0">
                  <c:v>1</c:v>
                </c:pt>
              </c:numCache>
            </c:numRef>
          </c:yVal>
          <c:smooth val="1"/>
          <c:extLst>
            <c:ext xmlns:c16="http://schemas.microsoft.com/office/drawing/2014/chart" uri="{C3380CC4-5D6E-409C-BE32-E72D297353CC}">
              <c16:uniqueId val="{00000002-0D6B-479C-8930-0550AD999DBB}"/>
            </c:ext>
          </c:extLst>
        </c:ser>
        <c:dLbls>
          <c:showLegendKey val="0"/>
          <c:showVal val="0"/>
          <c:showCatName val="0"/>
          <c:showSerName val="0"/>
          <c:showPercent val="0"/>
          <c:showBubbleSize val="0"/>
        </c:dLbls>
        <c:axId val="290880664"/>
        <c:axId val="290875568"/>
      </c:scatterChart>
      <c:valAx>
        <c:axId val="290880664"/>
        <c:scaling>
          <c:orientation val="minMax"/>
          <c:max val="20"/>
        </c:scaling>
        <c:delete val="0"/>
        <c:axPos val="b"/>
        <c:title>
          <c:tx>
            <c:rich>
              <a:bodyPr/>
              <a:lstStyle/>
              <a:p>
                <a:pPr lvl="0">
                  <a:defRPr sz="1000" b="0" i="0">
                    <a:solidFill>
                      <a:srgbClr val="000000"/>
                    </a:solidFill>
                    <a:latin typeface="+mn-lt"/>
                  </a:defRPr>
                </a:pPr>
                <a:r>
                  <a:rPr lang="en-ZW" sz="1000" b="0" i="0">
                    <a:solidFill>
                      <a:srgbClr val="000000"/>
                    </a:solidFill>
                    <a:latin typeface="+mn-lt"/>
                  </a:rPr>
                  <a:t>Years</a:t>
                </a:r>
              </a:p>
            </c:rich>
          </c:tx>
          <c:overlay val="0"/>
        </c:title>
        <c:numFmt formatCode="General" sourceLinked="1"/>
        <c:majorTickMark val="cross"/>
        <c:minorTickMark val="cross"/>
        <c:tickLblPos val="nextTo"/>
        <c:spPr>
          <a:ln/>
        </c:spPr>
        <c:txPr>
          <a:bodyPr/>
          <a:lstStyle/>
          <a:p>
            <a:pPr lvl="0">
              <a:defRPr sz="900" b="0" i="0">
                <a:solidFill>
                  <a:srgbClr val="000000"/>
                </a:solidFill>
                <a:latin typeface="+mn-lt"/>
              </a:defRPr>
            </a:pPr>
            <a:endParaRPr lang="en-US"/>
          </a:p>
        </c:txPr>
        <c:crossAx val="290875568"/>
        <c:crosses val="autoZero"/>
        <c:crossBetween val="midCat"/>
        <c:majorUnit val="1"/>
        <c:minorUnit val="1"/>
      </c:valAx>
      <c:valAx>
        <c:axId val="29087556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lang="en-ZW" b="0">
                    <a:solidFill>
                      <a:srgbClr val="000000"/>
                    </a:solidFill>
                    <a:latin typeface="+mn-lt"/>
                  </a:rPr>
                  <a:t>$</a:t>
                </a:r>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290880664"/>
        <c:crosses val="autoZero"/>
        <c:crossBetween val="midCat"/>
      </c:valAx>
    </c:plotArea>
    <c:legend>
      <c:legendPos val="r"/>
      <c:layout>
        <c:manualLayout>
          <c:xMode val="edge"/>
          <c:yMode val="edge"/>
          <c:x val="9.7182961239568044E-2"/>
          <c:y val="0.10438421528469916"/>
        </c:manualLayout>
      </c:layout>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1"/>
  <c:style val="2"/>
  <c:chart>
    <c:title>
      <c:tx>
        <c:rich>
          <a:bodyPr/>
          <a:lstStyle/>
          <a:p>
            <a:pPr lvl="0">
              <a:defRPr b="0">
                <a:solidFill>
                  <a:srgbClr val="757575"/>
                </a:solidFill>
                <a:latin typeface="+mn-lt"/>
              </a:defRPr>
            </a:pPr>
            <a:r>
              <a:rPr lang="en-ZW" b="0">
                <a:solidFill>
                  <a:srgbClr val="757575"/>
                </a:solidFill>
                <a:latin typeface="+mn-lt"/>
              </a:rPr>
              <a:t>Cooling Curve</a:t>
            </a:r>
          </a:p>
        </c:rich>
      </c:tx>
      <c:overlay val="0"/>
    </c:title>
    <c:autoTitleDeleted val="0"/>
    <c:plotArea>
      <c:layout>
        <c:manualLayout>
          <c:xMode val="edge"/>
          <c:yMode val="edge"/>
          <c:x val="0.14377668248649264"/>
          <c:y val="0.17171296296296296"/>
          <c:w val="0.78316497964669574"/>
          <c:h val="0.62271617089530473"/>
        </c:manualLayout>
      </c:layout>
      <c:scatterChart>
        <c:scatterStyle val="lineMarker"/>
        <c:varyColors val="0"/>
        <c:ser>
          <c:idx val="0"/>
          <c:order val="0"/>
          <c:tx>
            <c:v>Temperature of the product</c:v>
          </c:tx>
          <c:spPr>
            <a:ln>
              <a:noFill/>
            </a:ln>
          </c:spPr>
          <c:marker>
            <c:symbol val="circle"/>
            <c:size val="7"/>
            <c:spPr>
              <a:solidFill>
                <a:schemeClr val="accent1"/>
              </a:solidFill>
              <a:ln cmpd="sng">
                <a:solidFill>
                  <a:schemeClr val="accent1"/>
                </a:solidFill>
              </a:ln>
            </c:spPr>
          </c:marker>
          <c:xVal>
            <c:numRef>
              <c:f>'Calculation Sheet'!$M$90:$M$114</c:f>
              <c:numCache>
                <c:formatCode>General</c:formatCode>
                <c:ptCount val="2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xVal>
          <c:yVal>
            <c:numRef>
              <c:f>'Calculation Sheet'!$N$90:$N$114</c:f>
              <c:numCache>
                <c:formatCode>0.00</c:formatCode>
                <c:ptCount val="25"/>
                <c:pt idx="0" formatCode="0.0">
                  <c:v>25</c:v>
                </c:pt>
                <c:pt idx="1">
                  <c:v>17.13139897252103</c:v>
                </c:pt>
                <c:pt idx="2">
                  <c:v>13.390456753684932</c:v>
                </c:pt>
                <c:pt idx="3">
                  <c:v>11.61191332064038</c:v>
                </c:pt>
                <c:pt idx="4">
                  <c:v>10.766346466573852</c:v>
                </c:pt>
                <c:pt idx="5">
                  <c:v>10.364341493621325</c:v>
                </c:pt>
                <c:pt idx="6">
                  <c:v>10.17321763688386</c:v>
                </c:pt>
                <c:pt idx="7">
                  <c:v>10.082352271846405</c:v>
                </c:pt>
                <c:pt idx="8">
                  <c:v>10.039152460455348</c:v>
                </c:pt>
                <c:pt idx="9">
                  <c:v>10.018614121084196</c:v>
                </c:pt>
                <c:pt idx="10">
                  <c:v>10.008849648264947</c:v>
                </c:pt>
                <c:pt idx="11">
                  <c:v>10.004207358169587</c:v>
                </c:pt>
                <c:pt idx="12">
                  <c:v>10.002000289981842</c:v>
                </c:pt>
                <c:pt idx="13">
                  <c:v>10.000950991061417</c:v>
                </c:pt>
                <c:pt idx="14">
                  <c:v>10.000452126445218</c:v>
                </c:pt>
                <c:pt idx="15">
                  <c:v>10.000214952937792</c:v>
                </c:pt>
                <c:pt idx="16">
                  <c:v>10.000102194343981</c:v>
                </c:pt>
                <c:pt idx="17">
                  <c:v>10.00004858590931</c:v>
                </c:pt>
                <c:pt idx="18">
                  <c:v>10.000023099033582</c:v>
                </c:pt>
                <c:pt idx="19">
                  <c:v>10.000010981894958</c:v>
                </c:pt>
                <c:pt idx="20">
                  <c:v>10.000005221084962</c:v>
                </c:pt>
                <c:pt idx="21">
                  <c:v>10.000002482242662</c:v>
                </c:pt>
                <c:pt idx="22">
                  <c:v>10.000001180124185</c:v>
                </c:pt>
                <c:pt idx="23">
                  <c:v>10.000000561062427</c:v>
                </c:pt>
                <c:pt idx="24">
                  <c:v>10.000000266744001</c:v>
                </c:pt>
              </c:numCache>
            </c:numRef>
          </c:yVal>
          <c:smooth val="1"/>
          <c:extLst>
            <c:ext xmlns:c16="http://schemas.microsoft.com/office/drawing/2014/chart" uri="{C3380CC4-5D6E-409C-BE32-E72D297353CC}">
              <c16:uniqueId val="{00000000-50FE-4F1A-AC2C-743513ACE1EC}"/>
            </c:ext>
          </c:extLst>
        </c:ser>
        <c:dLbls>
          <c:showLegendKey val="0"/>
          <c:showVal val="0"/>
          <c:showCatName val="0"/>
          <c:showSerName val="0"/>
          <c:showPercent val="0"/>
          <c:showBubbleSize val="0"/>
        </c:dLbls>
        <c:axId val="290882624"/>
        <c:axId val="290881448"/>
      </c:scatterChart>
      <c:valAx>
        <c:axId val="290882624"/>
        <c:scaling>
          <c:orientation val="minMax"/>
          <c:max val="24"/>
        </c:scaling>
        <c:delete val="0"/>
        <c:axPos val="b"/>
        <c:majorGridlines>
          <c:spPr>
            <a:ln>
              <a:solidFill>
                <a:srgbClr val="B7B7B7"/>
              </a:solidFill>
            </a:ln>
          </c:spPr>
        </c:majorGridlines>
        <c:title>
          <c:tx>
            <c:rich>
              <a:bodyPr/>
              <a:lstStyle/>
              <a:p>
                <a:pPr lvl="0">
                  <a:defRPr b="0">
                    <a:solidFill>
                      <a:srgbClr val="000000"/>
                    </a:solidFill>
                    <a:latin typeface="+mn-lt"/>
                  </a:defRPr>
                </a:pPr>
                <a:r>
                  <a:rPr lang="en-ZW" b="0">
                    <a:solidFill>
                      <a:srgbClr val="000000"/>
                    </a:solidFill>
                    <a:latin typeface="+mn-lt"/>
                  </a:rPr>
                  <a:t>Time in h</a:t>
                </a:r>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290881448"/>
        <c:crosses val="autoZero"/>
        <c:crossBetween val="midCat"/>
      </c:valAx>
      <c:valAx>
        <c:axId val="29088144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lang="en-ZW" b="0">
                    <a:solidFill>
                      <a:srgbClr val="000000"/>
                    </a:solidFill>
                    <a:latin typeface="+mn-lt"/>
                  </a:rPr>
                  <a:t>Temperature in °C</a:t>
                </a:r>
              </a:p>
            </c:rich>
          </c:tx>
          <c:overlay val="0"/>
        </c:title>
        <c:numFmt formatCode="0.0" sourceLinked="1"/>
        <c:majorTickMark val="none"/>
        <c:minorTickMark val="none"/>
        <c:tickLblPos val="nextTo"/>
        <c:spPr>
          <a:ln/>
        </c:spPr>
        <c:txPr>
          <a:bodyPr/>
          <a:lstStyle/>
          <a:p>
            <a:pPr lvl="0">
              <a:defRPr sz="900" b="0" i="0">
                <a:solidFill>
                  <a:srgbClr val="000000"/>
                </a:solidFill>
                <a:latin typeface="+mn-lt"/>
              </a:defRPr>
            </a:pPr>
            <a:endParaRPr lang="en-US"/>
          </a:p>
        </c:txPr>
        <c:crossAx val="290882624"/>
        <c:crosses val="autoZero"/>
        <c:crossBetween val="midCat"/>
      </c:valAx>
    </c:plotArea>
    <c:legend>
      <c:legendPos val="r"/>
      <c:layout>
        <c:manualLayout>
          <c:xMode val="edge"/>
          <c:yMode val="edge"/>
          <c:x val="0.696888912690104"/>
          <c:y val="0.17410834062408864"/>
        </c:manualLayout>
      </c:layout>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1"/>
  <c:style val="2"/>
  <c:chart>
    <c:title>
      <c:tx>
        <c:rich>
          <a:bodyPr/>
          <a:lstStyle/>
          <a:p>
            <a:pPr lvl="0">
              <a:defRPr b="0">
                <a:solidFill>
                  <a:srgbClr val="757575"/>
                </a:solidFill>
                <a:latin typeface="+mn-lt"/>
              </a:defRPr>
            </a:pPr>
            <a:r>
              <a:rPr lang="en-ZW" b="0">
                <a:solidFill>
                  <a:srgbClr val="757575"/>
                </a:solidFill>
                <a:latin typeface="+mn-lt"/>
              </a:rPr>
              <a:t>Cooling load</a:t>
            </a:r>
          </a:p>
        </c:rich>
      </c:tx>
      <c:overlay val="0"/>
    </c:title>
    <c:autoTitleDeleted val="0"/>
    <c:plotArea>
      <c:layout>
        <c:manualLayout>
          <c:xMode val="edge"/>
          <c:yMode val="edge"/>
          <c:x val="0.14377668248649264"/>
          <c:y val="0.17171296296296296"/>
          <c:w val="0.78316497964669574"/>
          <c:h val="0.62271617089530473"/>
        </c:manualLayout>
      </c:layout>
      <c:scatterChart>
        <c:scatterStyle val="lineMarker"/>
        <c:varyColors val="0"/>
        <c:ser>
          <c:idx val="0"/>
          <c:order val="0"/>
          <c:tx>
            <c:v>Accumulated Cooling load in kWh</c:v>
          </c:tx>
          <c:spPr>
            <a:ln>
              <a:noFill/>
            </a:ln>
          </c:spPr>
          <c:marker>
            <c:symbol val="circle"/>
            <c:size val="7"/>
            <c:spPr>
              <a:solidFill>
                <a:schemeClr val="accent1"/>
              </a:solidFill>
              <a:ln cmpd="sng">
                <a:solidFill>
                  <a:schemeClr val="accent1"/>
                </a:solidFill>
              </a:ln>
            </c:spPr>
          </c:marker>
          <c:xVal>
            <c:numRef>
              <c:f>'Calculation Sheet'!$B$122:$B$146</c:f>
              <c:numCache>
                <c:formatCode>General</c:formatCode>
                <c:ptCount val="2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xVal>
          <c:yVal>
            <c:numRef>
              <c:f>'Calculation Sheet'!$G$122:$G$146</c:f>
              <c:numCache>
                <c:formatCode>0.00</c:formatCode>
                <c:ptCount val="25"/>
                <c:pt idx="0">
                  <c:v>0</c:v>
                </c:pt>
                <c:pt idx="1">
                  <c:v>3.3936317112969103</c:v>
                </c:pt>
                <c:pt idx="2">
                  <c:v>5.097031823485084</c:v>
                </c:pt>
                <c:pt idx="3">
                  <c:v>6.0003627904033996</c:v>
                </c:pt>
                <c:pt idx="4">
                  <c:v>6.5258751192974165</c:v>
                </c:pt>
                <c:pt idx="5">
                  <c:v>6.8604266304001218</c:v>
                </c:pt>
                <c:pt idx="6">
                  <c:v>7.0996749715033012</c:v>
                </c:pt>
                <c:pt idx="7">
                  <c:v>7.2881419326853658</c:v>
                </c:pt>
                <c:pt idx="8">
                  <c:v>7.442667055146134</c:v>
                </c:pt>
                <c:pt idx="9">
                  <c:v>7.5754425946653852</c:v>
                </c:pt>
                <c:pt idx="10">
                  <c:v>7.6923120779355205</c:v>
                </c:pt>
                <c:pt idx="11">
                  <c:v>7.8022937749747241</c:v>
                </c:pt>
                <c:pt idx="12">
                  <c:v>7.9074487252296866</c:v>
                </c:pt>
                <c:pt idx="13">
                  <c:v>8.0073457036747495</c:v>
                </c:pt>
                <c:pt idx="14">
                  <c:v>8.1041471924614097</c:v>
                </c:pt>
                <c:pt idx="15">
                  <c:v>8.1970154971255731</c:v>
                </c:pt>
                <c:pt idx="16">
                  <c:v>8.2860070534363626</c:v>
                </c:pt>
                <c:pt idx="17">
                  <c:v>8.3730614924595059</c:v>
                </c:pt>
                <c:pt idx="18">
                  <c:v>8.4572351703973059</c:v>
                </c:pt>
                <c:pt idx="19">
                  <c:v>8.5394905518876296</c:v>
                </c:pt>
                <c:pt idx="20">
                  <c:v>8.6303509202206286</c:v>
                </c:pt>
                <c:pt idx="21">
                  <c:v>8.7355560461891297</c:v>
                </c:pt>
                <c:pt idx="22">
                  <c:v>8.8551065815045042</c:v>
                </c:pt>
                <c:pt idx="23">
                  <c:v>8.9890028360076712</c:v>
                </c:pt>
                <c:pt idx="24">
                  <c:v>9.1353321570052461</c:v>
                </c:pt>
              </c:numCache>
            </c:numRef>
          </c:yVal>
          <c:smooth val="1"/>
          <c:extLst>
            <c:ext xmlns:c16="http://schemas.microsoft.com/office/drawing/2014/chart" uri="{C3380CC4-5D6E-409C-BE32-E72D297353CC}">
              <c16:uniqueId val="{00000000-BFA5-49A8-8D88-FBC2BE4E6C9A}"/>
            </c:ext>
          </c:extLst>
        </c:ser>
        <c:dLbls>
          <c:showLegendKey val="0"/>
          <c:showVal val="0"/>
          <c:showCatName val="0"/>
          <c:showSerName val="0"/>
          <c:showPercent val="0"/>
          <c:showBubbleSize val="0"/>
        </c:dLbls>
        <c:axId val="290883016"/>
        <c:axId val="290879096"/>
      </c:scatterChart>
      <c:valAx>
        <c:axId val="290883016"/>
        <c:scaling>
          <c:orientation val="minMax"/>
          <c:max val="24"/>
        </c:scaling>
        <c:delete val="0"/>
        <c:axPos val="b"/>
        <c:majorGridlines>
          <c:spPr>
            <a:ln>
              <a:solidFill>
                <a:srgbClr val="B7B7B7"/>
              </a:solidFill>
            </a:ln>
          </c:spPr>
        </c:majorGridlines>
        <c:title>
          <c:tx>
            <c:rich>
              <a:bodyPr/>
              <a:lstStyle/>
              <a:p>
                <a:pPr lvl="0">
                  <a:defRPr b="0">
                    <a:solidFill>
                      <a:srgbClr val="000000"/>
                    </a:solidFill>
                    <a:latin typeface="+mn-lt"/>
                  </a:defRPr>
                </a:pPr>
                <a:r>
                  <a:rPr lang="en-ZW" b="0">
                    <a:solidFill>
                      <a:srgbClr val="000000"/>
                    </a:solidFill>
                    <a:latin typeface="+mn-lt"/>
                  </a:rPr>
                  <a:t>Time in h</a:t>
                </a:r>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290879096"/>
        <c:crosses val="autoZero"/>
        <c:crossBetween val="midCat"/>
      </c:valAx>
      <c:valAx>
        <c:axId val="29087909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lang="en-ZW" b="0">
                    <a:solidFill>
                      <a:srgbClr val="000000"/>
                    </a:solidFill>
                    <a:latin typeface="+mn-lt"/>
                  </a:rPr>
                  <a:t>Accumulated Cooling load in kWh</a:t>
                </a:r>
              </a:p>
            </c:rich>
          </c:tx>
          <c:overlay val="0"/>
        </c:title>
        <c:numFmt formatCode="0.00" sourceLinked="1"/>
        <c:majorTickMark val="none"/>
        <c:minorTickMark val="none"/>
        <c:tickLblPos val="nextTo"/>
        <c:spPr>
          <a:ln/>
        </c:spPr>
        <c:txPr>
          <a:bodyPr/>
          <a:lstStyle/>
          <a:p>
            <a:pPr lvl="0">
              <a:defRPr sz="900" b="0" i="0">
                <a:solidFill>
                  <a:srgbClr val="000000"/>
                </a:solidFill>
                <a:latin typeface="+mn-lt"/>
              </a:defRPr>
            </a:pPr>
            <a:endParaRPr lang="en-US"/>
          </a:p>
        </c:txPr>
        <c:crossAx val="290883016"/>
        <c:crosses val="autoZero"/>
        <c:crossBetween val="midCat"/>
      </c:valAx>
    </c:plotArea>
    <c:legend>
      <c:legendPos val="r"/>
      <c:layout>
        <c:manualLayout>
          <c:xMode val="edge"/>
          <c:yMode val="edge"/>
          <c:x val="0.71347719861729442"/>
          <c:y val="2.8120443277923541E-3"/>
        </c:manualLayout>
      </c:layout>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1"/>
  <c:style val="2"/>
  <c:chart>
    <c:autoTitleDeleted val="1"/>
    <c:plotArea>
      <c:layout/>
      <c:barChart>
        <c:barDir val="col"/>
        <c:grouping val="stacked"/>
        <c:varyColors val="1"/>
        <c:ser>
          <c:idx val="0"/>
          <c:order val="0"/>
          <c:tx>
            <c:v>Yes</c:v>
          </c:tx>
          <c:spPr>
            <a:solidFill>
              <a:srgbClr val="4472C4"/>
            </a:solidFill>
            <a:ln cmpd="sng">
              <a:solidFill>
                <a:srgbClr val="000000"/>
              </a:solidFill>
            </a:ln>
          </c:spPr>
          <c:invertIfNegative val="1"/>
          <c:val>
            <c:numRef>
              <c:f>'Calculation Sheet'!$Q$58</c:f>
              <c:numCache>
                <c:formatCode>General</c:formatCode>
                <c:ptCount val="1"/>
                <c:pt idx="0">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5C3-438D-B773-685465DACCB3}"/>
            </c:ext>
          </c:extLst>
        </c:ser>
        <c:ser>
          <c:idx val="1"/>
          <c:order val="1"/>
          <c:tx>
            <c:v>No</c:v>
          </c:tx>
          <c:spPr>
            <a:solidFill>
              <a:srgbClr val="ED7D31"/>
            </a:solidFill>
            <a:ln cmpd="sng">
              <a:solidFill>
                <a:srgbClr val="000000"/>
              </a:solidFill>
            </a:ln>
          </c:spPr>
          <c:invertIfNegative val="1"/>
          <c:val>
            <c:numRef>
              <c:f>'Calculation Sheet'!$Q$59</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55C3-438D-B773-685465DACCB3}"/>
            </c:ext>
          </c:extLst>
        </c:ser>
        <c:dLbls>
          <c:showLegendKey val="0"/>
          <c:showVal val="0"/>
          <c:showCatName val="0"/>
          <c:showSerName val="0"/>
          <c:showPercent val="0"/>
          <c:showBubbleSize val="0"/>
        </c:dLbls>
        <c:gapWidth val="150"/>
        <c:overlap val="100"/>
        <c:axId val="290882232"/>
        <c:axId val="290877136"/>
      </c:barChart>
      <c:catAx>
        <c:axId val="290882232"/>
        <c:scaling>
          <c:orientation val="minMax"/>
        </c:scaling>
        <c:delete val="0"/>
        <c:axPos val="b"/>
        <c:title>
          <c:tx>
            <c:rich>
              <a:bodyPr/>
              <a:lstStyle/>
              <a:p>
                <a:pPr lvl="0">
                  <a:defRPr b="0">
                    <a:solidFill>
                      <a:srgbClr val="000000"/>
                    </a:solidFill>
                    <a:latin typeface="+mn-lt"/>
                  </a:defRPr>
                </a:pPr>
                <a:endParaRPr lang="en-ZW"/>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US"/>
          </a:p>
        </c:txPr>
        <c:crossAx val="290877136"/>
        <c:crosses val="autoZero"/>
        <c:auto val="1"/>
        <c:lblAlgn val="ctr"/>
        <c:lblOffset val="100"/>
        <c:noMultiLvlLbl val="1"/>
      </c:catAx>
      <c:valAx>
        <c:axId val="290877136"/>
        <c:scaling>
          <c:orientation val="minMax"/>
          <c:max val="1"/>
        </c:scaling>
        <c:delete val="0"/>
        <c:axPos val="l"/>
        <c:title>
          <c:tx>
            <c:rich>
              <a:bodyPr/>
              <a:lstStyle/>
              <a:p>
                <a:pPr lvl="0">
                  <a:defRPr b="0">
                    <a:solidFill>
                      <a:srgbClr val="000000"/>
                    </a:solidFill>
                    <a:latin typeface="+mn-lt"/>
                  </a:defRPr>
                </a:pPr>
                <a:endParaRPr lang="en-ZW"/>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n-US"/>
          </a:p>
        </c:txPr>
        <c:crossAx val="290882232"/>
        <c:crosses val="autoZero"/>
        <c:crossBetween val="between"/>
      </c:valAx>
    </c:plotArea>
    <c:plotVisOnly val="1"/>
    <c:dispBlanksAs val="zero"/>
    <c:showDLblsOverMax val="1"/>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GB"/>
              <a:t>Total GHG emissions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dPt>
            <c:idx val="13"/>
            <c:invertIfNegative val="0"/>
            <c:bubble3D val="0"/>
            <c:spPr>
              <a:solidFill>
                <a:schemeClr val="accent6"/>
              </a:solidFill>
              <a:ln>
                <a:noFill/>
              </a:ln>
              <a:effectLst/>
            </c:spPr>
            <c:extLst>
              <c:ext xmlns:c16="http://schemas.microsoft.com/office/drawing/2014/chart" uri="{C3380CC4-5D6E-409C-BE32-E72D297353CC}">
                <c16:uniqueId val="{00000001-27CE-4870-9990-935E681F31C7}"/>
              </c:ext>
            </c:extLst>
          </c:dPt>
          <c:dPt>
            <c:idx val="14"/>
            <c:invertIfNegative val="0"/>
            <c:bubble3D val="0"/>
            <c:spPr>
              <a:solidFill>
                <a:schemeClr val="accent2"/>
              </a:solidFill>
              <a:ln>
                <a:noFill/>
              </a:ln>
              <a:effectLst/>
            </c:spPr>
            <c:extLst>
              <c:ext xmlns:c16="http://schemas.microsoft.com/office/drawing/2014/chart" uri="{C3380CC4-5D6E-409C-BE32-E72D297353CC}">
                <c16:uniqueId val="{00000005-27CE-4870-9990-935E681F31C7}"/>
              </c:ext>
            </c:extLst>
          </c:dPt>
          <c:cat>
            <c:strRef>
              <c:extLst>
                <c:ext xmlns:c15="http://schemas.microsoft.com/office/drawing/2012/chart" uri="{02D57815-91ED-43cb-92C2-25804820EDAC}">
                  <c15:fullRef>
                    <c15:sqref>'6 LCA'!$C$70:$R$70</c15:sqref>
                  </c15:fullRef>
                </c:ext>
              </c:extLst>
              <c:f>('6 LCA'!$C$70:$P$70,'6 LCA'!$R$70)</c:f>
              <c:strCache>
                <c:ptCount val="15"/>
                <c:pt idx="0">
                  <c:v>Batteries</c:v>
                </c:pt>
                <c:pt idx="1">
                  <c:v>PV</c:v>
                </c:pt>
                <c:pt idx="2">
                  <c:v>Cooling system</c:v>
                </c:pt>
                <c:pt idx="3">
                  <c:v>Foundations</c:v>
                </c:pt>
                <c:pt idx="4">
                  <c:v>Timber structure</c:v>
                </c:pt>
                <c:pt idx="5">
                  <c:v>Vapour barrier</c:v>
                </c:pt>
                <c:pt idx="6">
                  <c:v>Insulated panels</c:v>
                </c:pt>
                <c:pt idx="7">
                  <c:v>External planting</c:v>
                </c:pt>
                <c:pt idx="8">
                  <c:v>Rainwater tank</c:v>
                </c:pt>
                <c:pt idx="9">
                  <c:v>Door</c:v>
                </c:pt>
                <c:pt idx="10">
                  <c:v>Ecoboards</c:v>
                </c:pt>
                <c:pt idx="11">
                  <c:v>Timber boards</c:v>
                </c:pt>
                <c:pt idx="12">
                  <c:v>Charcoal cooler</c:v>
                </c:pt>
                <c:pt idx="13">
                  <c:v>Biogenic storage</c:v>
                </c:pt>
                <c:pt idx="14">
                  <c:v>Transport</c:v>
                </c:pt>
              </c:strCache>
            </c:strRef>
          </c:cat>
          <c:val>
            <c:numRef>
              <c:extLst>
                <c:ext xmlns:c15="http://schemas.microsoft.com/office/drawing/2012/chart" uri="{02D57815-91ED-43cb-92C2-25804820EDAC}">
                  <c15:fullRef>
                    <c15:sqref>'6 LCA'!$C$72:$R$72</c15:sqref>
                  </c15:fullRef>
                </c:ext>
              </c:extLst>
              <c:f>('6 LCA'!$C$72:$P$72,'6 LCA'!$R$72)</c:f>
              <c:numCache>
                <c:formatCode>General</c:formatCode>
                <c:ptCount val="15"/>
                <c:pt idx="0">
                  <c:v>446.82900000000006</c:v>
                </c:pt>
                <c:pt idx="1">
                  <c:v>2735.3348382238937</c:v>
                </c:pt>
                <c:pt idx="2">
                  <c:v>788.70612000000006</c:v>
                </c:pt>
                <c:pt idx="3">
                  <c:v>402.64703408923742</c:v>
                </c:pt>
                <c:pt idx="4">
                  <c:v>37.370387370032645</c:v>
                </c:pt>
                <c:pt idx="5">
                  <c:v>47.548627199999999</c:v>
                </c:pt>
                <c:pt idx="6">
                  <c:v>258.74395714285714</c:v>
                </c:pt>
                <c:pt idx="7">
                  <c:v>0.1974234028680491</c:v>
                </c:pt>
                <c:pt idx="8">
                  <c:v>102.66036190902507</c:v>
                </c:pt>
                <c:pt idx="9">
                  <c:v>11.861733245684524</c:v>
                </c:pt>
                <c:pt idx="10">
                  <c:v>443.49443842859995</c:v>
                </c:pt>
                <c:pt idx="11">
                  <c:v>311.3143</c:v>
                </c:pt>
                <c:pt idx="12">
                  <c:v>78.322379999999995</c:v>
                </c:pt>
                <c:pt idx="13">
                  <c:v>-3231.991367049608</c:v>
                </c:pt>
                <c:pt idx="14">
                  <c:v>249.96184094610558</c:v>
                </c:pt>
              </c:numCache>
            </c:numRef>
          </c:val>
          <c:extLst>
            <c:ext xmlns:c15="http://schemas.microsoft.com/office/drawing/2012/chart" uri="{02D57815-91ED-43cb-92C2-25804820EDAC}">
              <c15:categoryFilterExceptions>
                <c15:categoryFilterException>
                  <c15:sqref>'6 LCA'!$Q$72</c15:sqref>
                  <c15:spPr xmlns:c15="http://schemas.microsoft.com/office/drawing/2012/chart">
                    <a:solidFill>
                      <a:schemeClr val="accent4"/>
                    </a:solidFill>
                    <a:ln>
                      <a:noFill/>
                    </a:ln>
                    <a:effectLst/>
                  </c15:spPr>
                  <c15:invertIfNegative val="0"/>
                  <c15:bubble3D val="0"/>
                </c15:categoryFilterException>
              </c15:categoryFilterExceptions>
            </c:ext>
            <c:ext xmlns:c16="http://schemas.microsoft.com/office/drawing/2014/chart" uri="{C3380CC4-5D6E-409C-BE32-E72D297353CC}">
              <c16:uniqueId val="{00000006-27CE-4870-9990-935E681F31C7}"/>
            </c:ext>
          </c:extLst>
        </c:ser>
        <c:dLbls>
          <c:showLegendKey val="0"/>
          <c:showVal val="0"/>
          <c:showCatName val="0"/>
          <c:showSerName val="0"/>
          <c:showPercent val="0"/>
          <c:showBubbleSize val="0"/>
        </c:dLbls>
        <c:gapWidth val="150"/>
        <c:axId val="1939570288"/>
        <c:axId val="2080023856"/>
      </c:barChart>
      <c:catAx>
        <c:axId val="1939570288"/>
        <c:scaling>
          <c:orientation val="minMax"/>
        </c:scaling>
        <c:delete val="0"/>
        <c:axPos val="l"/>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080023856"/>
        <c:crosses val="autoZero"/>
        <c:auto val="1"/>
        <c:lblAlgn val="ctr"/>
        <c:lblOffset val="100"/>
        <c:noMultiLvlLbl val="0"/>
      </c:catAx>
      <c:valAx>
        <c:axId val="20800238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Net</a:t>
                </a:r>
                <a:r>
                  <a:rPr lang="en-GB" baseline="0"/>
                  <a:t> emissions (kgCO2e)</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GB"/>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9395702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9050" cap="flat" cmpd="sng" algn="ctr">
      <a:solidFill>
        <a:sysClr val="windowText" lastClr="000000"/>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'6 LCA'!$C$70</c:f>
              <c:strCache>
                <c:ptCount val="1"/>
                <c:pt idx="0">
                  <c:v>Batteries</c:v>
                </c:pt>
              </c:strCache>
            </c:strRef>
          </c:tx>
          <c:spPr>
            <a:solidFill>
              <a:schemeClr val="accent1"/>
            </a:solidFill>
            <a:ln>
              <a:noFill/>
            </a:ln>
            <a:effectLst/>
          </c:spPr>
          <c:invertIfNegative val="0"/>
          <c:cat>
            <c:strRef>
              <c:f>'6 LCA'!$B$72</c:f>
              <c:strCache>
                <c:ptCount val="1"/>
                <c:pt idx="0">
                  <c:v>climate change - global warming potential (GWP100)</c:v>
                </c:pt>
              </c:strCache>
            </c:strRef>
          </c:cat>
          <c:val>
            <c:numRef>
              <c:f>'6 LCA'!$C$72</c:f>
              <c:numCache>
                <c:formatCode>General</c:formatCode>
                <c:ptCount val="1"/>
                <c:pt idx="0">
                  <c:v>446.82900000000006</c:v>
                </c:pt>
              </c:numCache>
            </c:numRef>
          </c:val>
          <c:extLst>
            <c:ext xmlns:c16="http://schemas.microsoft.com/office/drawing/2014/chart" uri="{C3380CC4-5D6E-409C-BE32-E72D297353CC}">
              <c16:uniqueId val="{00000000-593A-474E-826F-E1CF8565F2A9}"/>
            </c:ext>
          </c:extLst>
        </c:ser>
        <c:ser>
          <c:idx val="1"/>
          <c:order val="1"/>
          <c:tx>
            <c:strRef>
              <c:f>'6 LCA'!$D$70</c:f>
              <c:strCache>
                <c:ptCount val="1"/>
                <c:pt idx="0">
                  <c:v>PV</c:v>
                </c:pt>
              </c:strCache>
            </c:strRef>
          </c:tx>
          <c:spPr>
            <a:solidFill>
              <a:schemeClr val="accent2"/>
            </a:solidFill>
            <a:ln>
              <a:noFill/>
            </a:ln>
            <a:effectLst/>
          </c:spPr>
          <c:invertIfNegative val="0"/>
          <c:cat>
            <c:strRef>
              <c:f>'6 LCA'!$B$72</c:f>
              <c:strCache>
                <c:ptCount val="1"/>
                <c:pt idx="0">
                  <c:v>climate change - global warming potential (GWP100)</c:v>
                </c:pt>
              </c:strCache>
            </c:strRef>
          </c:cat>
          <c:val>
            <c:numRef>
              <c:f>'6 LCA'!$D$72</c:f>
              <c:numCache>
                <c:formatCode>General</c:formatCode>
                <c:ptCount val="1"/>
                <c:pt idx="0">
                  <c:v>2735.3348382238937</c:v>
                </c:pt>
              </c:numCache>
            </c:numRef>
          </c:val>
          <c:extLst>
            <c:ext xmlns:c16="http://schemas.microsoft.com/office/drawing/2014/chart" uri="{C3380CC4-5D6E-409C-BE32-E72D297353CC}">
              <c16:uniqueId val="{00000001-593A-474E-826F-E1CF8565F2A9}"/>
            </c:ext>
          </c:extLst>
        </c:ser>
        <c:ser>
          <c:idx val="2"/>
          <c:order val="2"/>
          <c:tx>
            <c:strRef>
              <c:f>'6 LCA'!$E$70</c:f>
              <c:strCache>
                <c:ptCount val="1"/>
                <c:pt idx="0">
                  <c:v>Cooling system</c:v>
                </c:pt>
              </c:strCache>
            </c:strRef>
          </c:tx>
          <c:spPr>
            <a:solidFill>
              <a:schemeClr val="accent3"/>
            </a:solidFill>
            <a:ln>
              <a:noFill/>
            </a:ln>
            <a:effectLst/>
          </c:spPr>
          <c:invertIfNegative val="0"/>
          <c:cat>
            <c:strRef>
              <c:f>'6 LCA'!$B$72</c:f>
              <c:strCache>
                <c:ptCount val="1"/>
                <c:pt idx="0">
                  <c:v>climate change - global warming potential (GWP100)</c:v>
                </c:pt>
              </c:strCache>
            </c:strRef>
          </c:cat>
          <c:val>
            <c:numRef>
              <c:f>'6 LCA'!$E$72</c:f>
              <c:numCache>
                <c:formatCode>General</c:formatCode>
                <c:ptCount val="1"/>
                <c:pt idx="0">
                  <c:v>788.70612000000006</c:v>
                </c:pt>
              </c:numCache>
            </c:numRef>
          </c:val>
          <c:extLst>
            <c:ext xmlns:c16="http://schemas.microsoft.com/office/drawing/2014/chart" uri="{C3380CC4-5D6E-409C-BE32-E72D297353CC}">
              <c16:uniqueId val="{00000002-593A-474E-826F-E1CF8565F2A9}"/>
            </c:ext>
          </c:extLst>
        </c:ser>
        <c:ser>
          <c:idx val="3"/>
          <c:order val="3"/>
          <c:tx>
            <c:strRef>
              <c:f>'6 LCA'!$F$70</c:f>
              <c:strCache>
                <c:ptCount val="1"/>
                <c:pt idx="0">
                  <c:v>Foundations</c:v>
                </c:pt>
              </c:strCache>
            </c:strRef>
          </c:tx>
          <c:spPr>
            <a:solidFill>
              <a:schemeClr val="accent4"/>
            </a:solidFill>
            <a:ln>
              <a:noFill/>
            </a:ln>
            <a:effectLst/>
          </c:spPr>
          <c:invertIfNegative val="0"/>
          <c:cat>
            <c:strRef>
              <c:f>'6 LCA'!$B$72</c:f>
              <c:strCache>
                <c:ptCount val="1"/>
                <c:pt idx="0">
                  <c:v>climate change - global warming potential (GWP100)</c:v>
                </c:pt>
              </c:strCache>
            </c:strRef>
          </c:cat>
          <c:val>
            <c:numRef>
              <c:f>'6 LCA'!$F$72</c:f>
              <c:numCache>
                <c:formatCode>General</c:formatCode>
                <c:ptCount val="1"/>
                <c:pt idx="0">
                  <c:v>402.64703408923742</c:v>
                </c:pt>
              </c:numCache>
            </c:numRef>
          </c:val>
          <c:extLst>
            <c:ext xmlns:c16="http://schemas.microsoft.com/office/drawing/2014/chart" uri="{C3380CC4-5D6E-409C-BE32-E72D297353CC}">
              <c16:uniqueId val="{00000003-593A-474E-826F-E1CF8565F2A9}"/>
            </c:ext>
          </c:extLst>
        </c:ser>
        <c:ser>
          <c:idx val="4"/>
          <c:order val="4"/>
          <c:tx>
            <c:strRef>
              <c:f>'6 LCA'!$G$70</c:f>
              <c:strCache>
                <c:ptCount val="1"/>
                <c:pt idx="0">
                  <c:v>Timber structure</c:v>
                </c:pt>
              </c:strCache>
            </c:strRef>
          </c:tx>
          <c:spPr>
            <a:solidFill>
              <a:schemeClr val="accent5"/>
            </a:solidFill>
            <a:ln>
              <a:noFill/>
            </a:ln>
            <a:effectLst/>
          </c:spPr>
          <c:invertIfNegative val="0"/>
          <c:cat>
            <c:strRef>
              <c:f>'6 LCA'!$B$72</c:f>
              <c:strCache>
                <c:ptCount val="1"/>
                <c:pt idx="0">
                  <c:v>climate change - global warming potential (GWP100)</c:v>
                </c:pt>
              </c:strCache>
            </c:strRef>
          </c:cat>
          <c:val>
            <c:numRef>
              <c:f>'6 LCA'!$G$72</c:f>
              <c:numCache>
                <c:formatCode>General</c:formatCode>
                <c:ptCount val="1"/>
                <c:pt idx="0">
                  <c:v>37.370387370032645</c:v>
                </c:pt>
              </c:numCache>
            </c:numRef>
          </c:val>
          <c:extLst>
            <c:ext xmlns:c16="http://schemas.microsoft.com/office/drawing/2014/chart" uri="{C3380CC4-5D6E-409C-BE32-E72D297353CC}">
              <c16:uniqueId val="{00000004-593A-474E-826F-E1CF8565F2A9}"/>
            </c:ext>
          </c:extLst>
        </c:ser>
        <c:ser>
          <c:idx val="5"/>
          <c:order val="5"/>
          <c:tx>
            <c:strRef>
              <c:f>'6 LCA'!$H$70</c:f>
              <c:strCache>
                <c:ptCount val="1"/>
                <c:pt idx="0">
                  <c:v>Vapour barrier</c:v>
                </c:pt>
              </c:strCache>
            </c:strRef>
          </c:tx>
          <c:spPr>
            <a:solidFill>
              <a:schemeClr val="accent6"/>
            </a:solidFill>
            <a:ln>
              <a:noFill/>
            </a:ln>
            <a:effectLst/>
          </c:spPr>
          <c:invertIfNegative val="0"/>
          <c:cat>
            <c:strRef>
              <c:f>'6 LCA'!$B$72</c:f>
              <c:strCache>
                <c:ptCount val="1"/>
                <c:pt idx="0">
                  <c:v>climate change - global warming potential (GWP100)</c:v>
                </c:pt>
              </c:strCache>
            </c:strRef>
          </c:cat>
          <c:val>
            <c:numRef>
              <c:f>'6 LCA'!$H$72</c:f>
              <c:numCache>
                <c:formatCode>General</c:formatCode>
                <c:ptCount val="1"/>
                <c:pt idx="0">
                  <c:v>47.548627199999999</c:v>
                </c:pt>
              </c:numCache>
            </c:numRef>
          </c:val>
          <c:extLst>
            <c:ext xmlns:c16="http://schemas.microsoft.com/office/drawing/2014/chart" uri="{C3380CC4-5D6E-409C-BE32-E72D297353CC}">
              <c16:uniqueId val="{00000005-593A-474E-826F-E1CF8565F2A9}"/>
            </c:ext>
          </c:extLst>
        </c:ser>
        <c:ser>
          <c:idx val="6"/>
          <c:order val="6"/>
          <c:tx>
            <c:strRef>
              <c:f>'6 LCA'!$I$70</c:f>
              <c:strCache>
                <c:ptCount val="1"/>
                <c:pt idx="0">
                  <c:v>Insulated panels</c:v>
                </c:pt>
              </c:strCache>
            </c:strRef>
          </c:tx>
          <c:spPr>
            <a:solidFill>
              <a:schemeClr val="accent1">
                <a:lumMod val="60000"/>
              </a:schemeClr>
            </a:solidFill>
            <a:ln>
              <a:noFill/>
            </a:ln>
            <a:effectLst/>
          </c:spPr>
          <c:invertIfNegative val="0"/>
          <c:cat>
            <c:strRef>
              <c:f>'6 LCA'!$B$72</c:f>
              <c:strCache>
                <c:ptCount val="1"/>
                <c:pt idx="0">
                  <c:v>climate change - global warming potential (GWP100)</c:v>
                </c:pt>
              </c:strCache>
            </c:strRef>
          </c:cat>
          <c:val>
            <c:numRef>
              <c:f>'6 LCA'!$I$72</c:f>
              <c:numCache>
                <c:formatCode>General</c:formatCode>
                <c:ptCount val="1"/>
                <c:pt idx="0">
                  <c:v>258.74395714285714</c:v>
                </c:pt>
              </c:numCache>
            </c:numRef>
          </c:val>
          <c:extLst>
            <c:ext xmlns:c16="http://schemas.microsoft.com/office/drawing/2014/chart" uri="{C3380CC4-5D6E-409C-BE32-E72D297353CC}">
              <c16:uniqueId val="{00000006-593A-474E-826F-E1CF8565F2A9}"/>
            </c:ext>
          </c:extLst>
        </c:ser>
        <c:ser>
          <c:idx val="7"/>
          <c:order val="7"/>
          <c:tx>
            <c:v>Ecoboards</c:v>
          </c:tx>
          <c:spPr>
            <a:solidFill>
              <a:schemeClr val="accent2">
                <a:lumMod val="60000"/>
              </a:schemeClr>
            </a:solidFill>
            <a:ln>
              <a:noFill/>
            </a:ln>
            <a:effectLst/>
          </c:spPr>
          <c:invertIfNegative val="0"/>
          <c:val>
            <c:numRef>
              <c:f>Output!$K$24</c:f>
              <c:numCache>
                <c:formatCode>General</c:formatCode>
                <c:ptCount val="1"/>
                <c:pt idx="0">
                  <c:v>0.59958</c:v>
                </c:pt>
              </c:numCache>
            </c:numRef>
          </c:val>
          <c:extLst>
            <c:ext xmlns:c16="http://schemas.microsoft.com/office/drawing/2014/chart" uri="{C3380CC4-5D6E-409C-BE32-E72D297353CC}">
              <c16:uniqueId val="{00000007-593A-474E-826F-E1CF8565F2A9}"/>
            </c:ext>
          </c:extLst>
        </c:ser>
        <c:ser>
          <c:idx val="8"/>
          <c:order val="8"/>
          <c:tx>
            <c:strRef>
              <c:f>'6 LCA'!$J$70</c:f>
              <c:strCache>
                <c:ptCount val="1"/>
                <c:pt idx="0">
                  <c:v>External planting</c:v>
                </c:pt>
              </c:strCache>
            </c:strRef>
          </c:tx>
          <c:spPr>
            <a:solidFill>
              <a:schemeClr val="accent3">
                <a:lumMod val="60000"/>
              </a:schemeClr>
            </a:solidFill>
            <a:ln>
              <a:noFill/>
            </a:ln>
            <a:effectLst/>
          </c:spPr>
          <c:invertIfNegative val="0"/>
          <c:val>
            <c:numRef>
              <c:f>'6 LCA'!$J$72</c:f>
              <c:numCache>
                <c:formatCode>General</c:formatCode>
                <c:ptCount val="1"/>
                <c:pt idx="0">
                  <c:v>0.1974234028680491</c:v>
                </c:pt>
              </c:numCache>
            </c:numRef>
          </c:val>
          <c:extLst>
            <c:ext xmlns:c16="http://schemas.microsoft.com/office/drawing/2014/chart" uri="{C3380CC4-5D6E-409C-BE32-E72D297353CC}">
              <c16:uniqueId val="{00000008-593A-474E-826F-E1CF8565F2A9}"/>
            </c:ext>
          </c:extLst>
        </c:ser>
        <c:dLbls>
          <c:showLegendKey val="0"/>
          <c:showVal val="0"/>
          <c:showCatName val="0"/>
          <c:showSerName val="0"/>
          <c:showPercent val="0"/>
          <c:showBubbleSize val="0"/>
        </c:dLbls>
        <c:gapWidth val="150"/>
        <c:overlap val="100"/>
        <c:axId val="1168003504"/>
        <c:axId val="2037201968"/>
      </c:barChart>
      <c:catAx>
        <c:axId val="1168003504"/>
        <c:scaling>
          <c:orientation val="minMax"/>
        </c:scaling>
        <c:delete val="1"/>
        <c:axPos val="l"/>
        <c:numFmt formatCode="General" sourceLinked="1"/>
        <c:majorTickMark val="none"/>
        <c:minorTickMark val="none"/>
        <c:tickLblPos val="nextTo"/>
        <c:crossAx val="2037201968"/>
        <c:crosses val="autoZero"/>
        <c:auto val="1"/>
        <c:lblAlgn val="ctr"/>
        <c:lblOffset val="100"/>
        <c:noMultiLvlLbl val="0"/>
      </c:catAx>
      <c:valAx>
        <c:axId val="203720196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168003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9050" cap="flat" cmpd="sng" algn="ctr">
      <a:solidFill>
        <a:sysClr val="windowText" lastClr="000000"/>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11.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chart" Target="../charts/chart26.xml"/><Relationship Id="rId1" Type="http://schemas.openxmlformats.org/officeDocument/2006/relationships/image" Target="../media/image29.png"/></Relationships>
</file>

<file path=xl/drawings/_rels/drawing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8.jpeg"/><Relationship Id="rId7" Type="http://schemas.openxmlformats.org/officeDocument/2006/relationships/image" Target="../media/image12.jpeg"/><Relationship Id="rId2" Type="http://schemas.microsoft.com/office/2007/relationships/hdphoto" Target="../media/hdphoto1.wdp"/><Relationship Id="rId1" Type="http://schemas.openxmlformats.org/officeDocument/2006/relationships/image" Target="../media/image7.png"/><Relationship Id="rId6" Type="http://schemas.openxmlformats.org/officeDocument/2006/relationships/image" Target="../media/image11.png"/><Relationship Id="rId5" Type="http://schemas.openxmlformats.org/officeDocument/2006/relationships/image" Target="../media/image10.jpeg"/><Relationship Id="rId4" Type="http://schemas.openxmlformats.org/officeDocument/2006/relationships/image" Target="../media/image9.jpeg"/></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5" Type="http://schemas.openxmlformats.org/officeDocument/2006/relationships/image" Target="../media/image17.jpeg"/><Relationship Id="rId4" Type="http://schemas.openxmlformats.org/officeDocument/2006/relationships/image" Target="../media/image16.png"/></Relationships>
</file>

<file path=xl/drawings/_rels/drawing6.xml.rels><?xml version="1.0" encoding="UTF-8" standalone="yes"?>
<Relationships xmlns="http://schemas.openxmlformats.org/package/2006/relationships"><Relationship Id="rId3" Type="http://schemas.openxmlformats.org/officeDocument/2006/relationships/image" Target="../media/image20.png"/><Relationship Id="rId7" Type="http://schemas.openxmlformats.org/officeDocument/2006/relationships/image" Target="../media/image22.png"/><Relationship Id="rId2" Type="http://schemas.openxmlformats.org/officeDocument/2006/relationships/image" Target="../media/image19.png"/><Relationship Id="rId1" Type="http://schemas.openxmlformats.org/officeDocument/2006/relationships/image" Target="../media/image18.jpeg"/><Relationship Id="rId6" Type="http://schemas.openxmlformats.org/officeDocument/2006/relationships/image" Target="../media/image21.png"/><Relationship Id="rId5" Type="http://schemas.openxmlformats.org/officeDocument/2006/relationships/image" Target="../media/image9.jpeg"/><Relationship Id="rId4" Type="http://schemas.openxmlformats.org/officeDocument/2006/relationships/image" Target="../media/image10.jpeg"/></Relationships>
</file>

<file path=xl/drawings/_rels/drawing7.xml.rels><?xml version="1.0" encoding="UTF-8" standalone="yes"?>
<Relationships xmlns="http://schemas.openxmlformats.org/package/2006/relationships"><Relationship Id="rId3" Type="http://schemas.openxmlformats.org/officeDocument/2006/relationships/image" Target="../media/image23.JPG"/><Relationship Id="rId2" Type="http://schemas.openxmlformats.org/officeDocument/2006/relationships/image" Target="../media/image1.png"/><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chart" Target="../charts/chart6.xml"/><Relationship Id="rId7" Type="http://schemas.openxmlformats.org/officeDocument/2006/relationships/image" Target="../media/image26.png"/><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chart" Target="../charts/chart7.xml"/><Relationship Id="rId9" Type="http://schemas.openxmlformats.org/officeDocument/2006/relationships/image" Target="../media/image28.png"/></Relationships>
</file>

<file path=xl/drawings/_rels/drawing9.xml.rels><?xml version="1.0" encoding="UTF-8" standalone="yes"?>
<Relationships xmlns="http://schemas.openxmlformats.org/package/2006/relationships"><Relationship Id="rId8" Type="http://schemas.openxmlformats.org/officeDocument/2006/relationships/chart" Target="../charts/chart15.xml"/><Relationship Id="rId13" Type="http://schemas.openxmlformats.org/officeDocument/2006/relationships/chart" Target="../charts/chart20.xml"/><Relationship Id="rId3" Type="http://schemas.openxmlformats.org/officeDocument/2006/relationships/chart" Target="../charts/chart10.xml"/><Relationship Id="rId7" Type="http://schemas.openxmlformats.org/officeDocument/2006/relationships/chart" Target="../charts/chart14.xml"/><Relationship Id="rId12" Type="http://schemas.openxmlformats.org/officeDocument/2006/relationships/chart" Target="../charts/chart19.xml"/><Relationship Id="rId17" Type="http://schemas.openxmlformats.org/officeDocument/2006/relationships/chart" Target="../charts/chart24.xml"/><Relationship Id="rId2" Type="http://schemas.openxmlformats.org/officeDocument/2006/relationships/chart" Target="../charts/chart9.xml"/><Relationship Id="rId16" Type="http://schemas.openxmlformats.org/officeDocument/2006/relationships/chart" Target="../charts/chart23.xml"/><Relationship Id="rId1" Type="http://schemas.openxmlformats.org/officeDocument/2006/relationships/chart" Target="../charts/chart8.xml"/><Relationship Id="rId6" Type="http://schemas.openxmlformats.org/officeDocument/2006/relationships/chart" Target="../charts/chart13.xml"/><Relationship Id="rId11" Type="http://schemas.openxmlformats.org/officeDocument/2006/relationships/chart" Target="../charts/chart18.xml"/><Relationship Id="rId5" Type="http://schemas.openxmlformats.org/officeDocument/2006/relationships/chart" Target="../charts/chart12.xml"/><Relationship Id="rId15" Type="http://schemas.openxmlformats.org/officeDocument/2006/relationships/chart" Target="../charts/chart22.xml"/><Relationship Id="rId10" Type="http://schemas.openxmlformats.org/officeDocument/2006/relationships/chart" Target="../charts/chart17.xml"/><Relationship Id="rId4" Type="http://schemas.openxmlformats.org/officeDocument/2006/relationships/chart" Target="../charts/chart11.xml"/><Relationship Id="rId9" Type="http://schemas.openxmlformats.org/officeDocument/2006/relationships/chart" Target="../charts/chart16.xml"/><Relationship Id="rId14" Type="http://schemas.openxmlformats.org/officeDocument/2006/relationships/chart" Target="../charts/chart21.xml"/></Relationships>
</file>

<file path=xl/drawings/drawing1.xml><?xml version="1.0" encoding="utf-8"?>
<xdr:wsDr xmlns:xdr="http://schemas.openxmlformats.org/drawingml/2006/spreadsheetDrawing" xmlns:a="http://schemas.openxmlformats.org/drawingml/2006/main">
  <xdr:twoCellAnchor>
    <xdr:from>
      <xdr:col>3</xdr:col>
      <xdr:colOff>533400</xdr:colOff>
      <xdr:row>2</xdr:row>
      <xdr:rowOff>123825</xdr:rowOff>
    </xdr:from>
    <xdr:to>
      <xdr:col>6</xdr:col>
      <xdr:colOff>238115</xdr:colOff>
      <xdr:row>5</xdr:row>
      <xdr:rowOff>57150</xdr:rowOff>
    </xdr:to>
    <xdr:sp macro="" textlink="">
      <xdr:nvSpPr>
        <xdr:cNvPr id="13" name="Rechteck 12">
          <a:extLst>
            <a:ext uri="{FF2B5EF4-FFF2-40B4-BE49-F238E27FC236}">
              <a16:creationId xmlns:a16="http://schemas.microsoft.com/office/drawing/2014/main" id="{707548D2-F3E1-475C-BF48-25FF8B79B302}"/>
            </a:ext>
          </a:extLst>
        </xdr:cNvPr>
        <xdr:cNvSpPr/>
      </xdr:nvSpPr>
      <xdr:spPr>
        <a:xfrm>
          <a:off x="3724275" y="485775"/>
          <a:ext cx="1847840" cy="4762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de-DE"/>
        </a:p>
      </xdr:txBody>
    </xdr:sp>
    <xdr:clientData/>
  </xdr:twoCellAnchor>
  <xdr:twoCellAnchor editAs="oneCell">
    <xdr:from>
      <xdr:col>3</xdr:col>
      <xdr:colOff>536201</xdr:colOff>
      <xdr:row>14</xdr:row>
      <xdr:rowOff>20172</xdr:rowOff>
    </xdr:from>
    <xdr:to>
      <xdr:col>9</xdr:col>
      <xdr:colOff>374276</xdr:colOff>
      <xdr:row>26</xdr:row>
      <xdr:rowOff>66129</xdr:rowOff>
    </xdr:to>
    <xdr:pic>
      <xdr:nvPicPr>
        <xdr:cNvPr id="15" name="Grafik 14">
          <a:extLst>
            <a:ext uri="{FF2B5EF4-FFF2-40B4-BE49-F238E27FC236}">
              <a16:creationId xmlns:a16="http://schemas.microsoft.com/office/drawing/2014/main" id="{7709EDC4-8C11-4D4B-B69F-E5996D19F131}"/>
            </a:ext>
          </a:extLst>
        </xdr:cNvPr>
        <xdr:cNvPicPr>
          <a:picLocks noChangeAspect="1"/>
        </xdr:cNvPicPr>
      </xdr:nvPicPr>
      <xdr:blipFill>
        <a:blip xmlns:r="http://schemas.openxmlformats.org/officeDocument/2006/relationships" r:embed="rId1"/>
        <a:stretch>
          <a:fillRect/>
        </a:stretch>
      </xdr:blipFill>
      <xdr:spPr>
        <a:xfrm>
          <a:off x="2452407" y="2530290"/>
          <a:ext cx="4533340" cy="2197486"/>
        </a:xfrm>
        <a:prstGeom prst="rect">
          <a:avLst/>
        </a:prstGeom>
      </xdr:spPr>
    </xdr:pic>
    <xdr:clientData/>
  </xdr:twoCellAnchor>
  <xdr:twoCellAnchor editAs="oneCell">
    <xdr:from>
      <xdr:col>1</xdr:col>
      <xdr:colOff>219075</xdr:colOff>
      <xdr:row>1</xdr:row>
      <xdr:rowOff>171451</xdr:rowOff>
    </xdr:from>
    <xdr:to>
      <xdr:col>4</xdr:col>
      <xdr:colOff>571500</xdr:colOff>
      <xdr:row>6</xdr:row>
      <xdr:rowOff>49068</xdr:rowOff>
    </xdr:to>
    <xdr:pic>
      <xdr:nvPicPr>
        <xdr:cNvPr id="5" name="Picture 4" descr="C:\Users\PREFCO~1\AppData\Local\Temp\MicrosoftEdgeDownloads\1efaca44-d228-48d7-aeb7-3c9c979f51bc\Logo mit text.jpg">
          <a:extLst>
            <a:ext uri="{FF2B5EF4-FFF2-40B4-BE49-F238E27FC236}">
              <a16:creationId xmlns:a16="http://schemas.microsoft.com/office/drawing/2014/main" id="{3947197F-71B2-419D-B496-E4063E0A1FA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6300" y="352426"/>
          <a:ext cx="2495550" cy="782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44823</xdr:colOff>
      <xdr:row>30</xdr:row>
      <xdr:rowOff>78441</xdr:rowOff>
    </xdr:from>
    <xdr:to>
      <xdr:col>11</xdr:col>
      <xdr:colOff>768247</xdr:colOff>
      <xdr:row>35</xdr:row>
      <xdr:rowOff>134472</xdr:rowOff>
    </xdr:to>
    <xdr:pic>
      <xdr:nvPicPr>
        <xdr:cNvPr id="2" name="Grafik 1">
          <a:extLst>
            <a:ext uri="{FF2B5EF4-FFF2-40B4-BE49-F238E27FC236}">
              <a16:creationId xmlns:a16="http://schemas.microsoft.com/office/drawing/2014/main" id="{951527F6-48B7-0672-E2A7-5DEF71FB08A3}"/>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29842" b="11168"/>
        <a:stretch/>
      </xdr:blipFill>
      <xdr:spPr bwMode="auto">
        <a:xfrm>
          <a:off x="526676" y="5457265"/>
          <a:ext cx="8287395" cy="952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748735</xdr:colOff>
      <xdr:row>2</xdr:row>
      <xdr:rowOff>80684</xdr:rowOff>
    </xdr:from>
    <xdr:to>
      <xdr:col>11</xdr:col>
      <xdr:colOff>798138</xdr:colOff>
      <xdr:row>5</xdr:row>
      <xdr:rowOff>35859</xdr:rowOff>
    </xdr:to>
    <xdr:pic>
      <xdr:nvPicPr>
        <xdr:cNvPr id="4" name="Picture 3">
          <a:extLst>
            <a:ext uri="{FF2B5EF4-FFF2-40B4-BE49-F238E27FC236}">
              <a16:creationId xmlns:a16="http://schemas.microsoft.com/office/drawing/2014/main" id="{25628C0F-2AB1-A98D-4C41-A523085353F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378570" y="439272"/>
          <a:ext cx="2658133" cy="49305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129540</xdr:colOff>
      <xdr:row>9</xdr:row>
      <xdr:rowOff>76200</xdr:rowOff>
    </xdr:from>
    <xdr:to>
      <xdr:col>22</xdr:col>
      <xdr:colOff>160020</xdr:colOff>
      <xdr:row>22</xdr:row>
      <xdr:rowOff>99060</xdr:rowOff>
    </xdr:to>
    <xdr:graphicFrame macro="">
      <xdr:nvGraphicFramePr>
        <xdr:cNvPr id="2" name="Chart 1">
          <a:extLst>
            <a:ext uri="{FF2B5EF4-FFF2-40B4-BE49-F238E27FC236}">
              <a16:creationId xmlns:a16="http://schemas.microsoft.com/office/drawing/2014/main" id="{7E428B90-6C3C-452F-9F3E-7E4C70F94D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29</xdr:row>
      <xdr:rowOff>66953</xdr:rowOff>
    </xdr:from>
    <xdr:to>
      <xdr:col>0</xdr:col>
      <xdr:colOff>6296904</xdr:colOff>
      <xdr:row>53</xdr:row>
      <xdr:rowOff>163099</xdr:rowOff>
    </xdr:to>
    <xdr:pic>
      <xdr:nvPicPr>
        <xdr:cNvPr id="2" name="Picture 1">
          <a:extLst>
            <a:ext uri="{FF2B5EF4-FFF2-40B4-BE49-F238E27FC236}">
              <a16:creationId xmlns:a16="http://schemas.microsoft.com/office/drawing/2014/main" id="{4A459A2D-B2B1-4DF0-B85D-64BA1B64FF73}"/>
            </a:ext>
          </a:extLst>
        </xdr:cNvPr>
        <xdr:cNvPicPr>
          <a:picLocks noChangeAspect="1"/>
        </xdr:cNvPicPr>
      </xdr:nvPicPr>
      <xdr:blipFill>
        <a:blip xmlns:r="http://schemas.openxmlformats.org/officeDocument/2006/relationships" r:embed="rId1"/>
        <a:stretch>
          <a:fillRect/>
        </a:stretch>
      </xdr:blipFill>
      <xdr:spPr>
        <a:xfrm>
          <a:off x="0" y="5553353"/>
          <a:ext cx="6296904" cy="4485266"/>
        </a:xfrm>
        <a:prstGeom prst="rect">
          <a:avLst/>
        </a:prstGeom>
      </xdr:spPr>
    </xdr:pic>
    <xdr:clientData/>
  </xdr:twoCellAnchor>
  <xdr:twoCellAnchor>
    <xdr:from>
      <xdr:col>8</xdr:col>
      <xdr:colOff>315684</xdr:colOff>
      <xdr:row>8</xdr:row>
      <xdr:rowOff>70758</xdr:rowOff>
    </xdr:from>
    <xdr:to>
      <xdr:col>26</xdr:col>
      <xdr:colOff>293913</xdr:colOff>
      <xdr:row>22</xdr:row>
      <xdr:rowOff>21772</xdr:rowOff>
    </xdr:to>
    <xdr:graphicFrame macro="">
      <xdr:nvGraphicFramePr>
        <xdr:cNvPr id="3" name="Chart 2">
          <a:extLst>
            <a:ext uri="{FF2B5EF4-FFF2-40B4-BE49-F238E27FC236}">
              <a16:creationId xmlns:a16="http://schemas.microsoft.com/office/drawing/2014/main" id="{C6F36644-6919-41CC-A7F9-2F4B2768F5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15</xdr:col>
      <xdr:colOff>0</xdr:colOff>
      <xdr:row>28</xdr:row>
      <xdr:rowOff>0</xdr:rowOff>
    </xdr:from>
    <xdr:to>
      <xdr:col>32</xdr:col>
      <xdr:colOff>592262</xdr:colOff>
      <xdr:row>41</xdr:row>
      <xdr:rowOff>152638</xdr:rowOff>
    </xdr:to>
    <xdr:pic>
      <xdr:nvPicPr>
        <xdr:cNvPr id="4" name="Picture 3">
          <a:extLst>
            <a:ext uri="{FF2B5EF4-FFF2-40B4-BE49-F238E27FC236}">
              <a16:creationId xmlns:a16="http://schemas.microsoft.com/office/drawing/2014/main" id="{190FAD41-74FE-4596-BB17-7B146C099805}"/>
            </a:ext>
          </a:extLst>
        </xdr:cNvPr>
        <xdr:cNvPicPr>
          <a:picLocks noChangeAspect="1"/>
        </xdr:cNvPicPr>
      </xdr:nvPicPr>
      <xdr:blipFill>
        <a:blip xmlns:r="http://schemas.openxmlformats.org/officeDocument/2006/relationships" r:embed="rId3"/>
        <a:stretch>
          <a:fillRect/>
        </a:stretch>
      </xdr:blipFill>
      <xdr:spPr>
        <a:xfrm>
          <a:off x="15979140" y="5120640"/>
          <a:ext cx="10955462" cy="27129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2</xdr:col>
      <xdr:colOff>133351</xdr:colOff>
      <xdr:row>16</xdr:row>
      <xdr:rowOff>87966</xdr:rowOff>
    </xdr:from>
    <xdr:to>
      <xdr:col>10</xdr:col>
      <xdr:colOff>235324</xdr:colOff>
      <xdr:row>32</xdr:row>
      <xdr:rowOff>163832</xdr:rowOff>
    </xdr:to>
    <xdr:pic>
      <xdr:nvPicPr>
        <xdr:cNvPr id="2" name="Picture 1">
          <a:extLst>
            <a:ext uri="{FF2B5EF4-FFF2-40B4-BE49-F238E27FC236}">
              <a16:creationId xmlns:a16="http://schemas.microsoft.com/office/drawing/2014/main" id="{37DD34EC-D186-4F83-BAE9-ECF92E48E2B8}"/>
            </a:ext>
          </a:extLst>
        </xdr:cNvPr>
        <xdr:cNvPicPr>
          <a:picLocks noChangeAspect="1"/>
        </xdr:cNvPicPr>
      </xdr:nvPicPr>
      <xdr:blipFill>
        <a:blip xmlns:r="http://schemas.openxmlformats.org/officeDocument/2006/relationships" r:embed="rId1"/>
        <a:stretch>
          <a:fillRect/>
        </a:stretch>
      </xdr:blipFill>
      <xdr:spPr>
        <a:xfrm>
          <a:off x="3405469" y="2956672"/>
          <a:ext cx="6018679" cy="2944572"/>
        </a:xfrm>
        <a:prstGeom prst="rect">
          <a:avLst/>
        </a:prstGeom>
        <a:solidFill>
          <a:schemeClr val="accent2"/>
        </a:solidFill>
      </xdr:spPr>
    </xdr:pic>
    <xdr:clientData/>
  </xdr:twoCellAnchor>
  <xdr:twoCellAnchor editAs="oneCell">
    <xdr:from>
      <xdr:col>10</xdr:col>
      <xdr:colOff>85725</xdr:colOff>
      <xdr:row>1</xdr:row>
      <xdr:rowOff>161925</xdr:rowOff>
    </xdr:from>
    <xdr:to>
      <xdr:col>13</xdr:col>
      <xdr:colOff>561975</xdr:colOff>
      <xdr:row>6</xdr:row>
      <xdr:rowOff>75605</xdr:rowOff>
    </xdr:to>
    <xdr:pic>
      <xdr:nvPicPr>
        <xdr:cNvPr id="3" name="Picture 2" descr="C:\Users\PREFCO~1\AppData\Local\Temp\MicrosoftEdgeDownloads\1efaca44-d228-48d7-aeb7-3c9c979f51bc\Logo mit text.jpg">
          <a:extLst>
            <a:ext uri="{FF2B5EF4-FFF2-40B4-BE49-F238E27FC236}">
              <a16:creationId xmlns:a16="http://schemas.microsoft.com/office/drawing/2014/main" id="{EC2751D6-4BA1-4294-931C-B47B446EB37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48775" y="342900"/>
          <a:ext cx="2619375" cy="8185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360317</xdr:colOff>
      <xdr:row>8</xdr:row>
      <xdr:rowOff>43542</xdr:rowOff>
    </xdr:from>
    <xdr:to>
      <xdr:col>6</xdr:col>
      <xdr:colOff>477516</xdr:colOff>
      <xdr:row>21</xdr:row>
      <xdr:rowOff>69051</xdr:rowOff>
    </xdr:to>
    <xdr:pic>
      <xdr:nvPicPr>
        <xdr:cNvPr id="4" name="Picture 3" descr="C:\Users\PREFCON TECHNOLOGIES\Desktop\Work\SCE Course\fruits.jpeg">
          <a:extLst>
            <a:ext uri="{FF2B5EF4-FFF2-40B4-BE49-F238E27FC236}">
              <a16:creationId xmlns:a16="http://schemas.microsoft.com/office/drawing/2014/main" id="{F40A64D9-C02E-45CD-B6B6-9AD035F3389D}"/>
            </a:ext>
          </a:extLst>
        </xdr:cNvPr>
        <xdr:cNvPicPr>
          <a:picLocks noChangeAspect="1" noChangeArrowheads="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backgroundRemoval t="10000" b="90000" l="10000" r="90000"/>
                  </a14:imgEffect>
                </a14:imgLayer>
              </a14:imgProps>
            </a:ext>
            <a:ext uri="{28A0092B-C50C-407E-A947-70E740481C1C}">
              <a14:useLocalDpi xmlns:a14="http://schemas.microsoft.com/office/drawing/2010/main" val="0"/>
            </a:ext>
          </a:extLst>
        </a:blip>
        <a:srcRect l="16771" t="-5954" r="9875" b="10329"/>
        <a:stretch/>
      </xdr:blipFill>
      <xdr:spPr bwMode="auto">
        <a:xfrm>
          <a:off x="4213860" y="1904999"/>
          <a:ext cx="2577370" cy="2180881"/>
        </a:xfrm>
        <a:prstGeom prst="rect">
          <a:avLst/>
        </a:prstGeom>
        <a:noFill/>
        <a:ln>
          <a:noFill/>
        </a:ln>
        <a:effectLst>
          <a:glow rad="127000">
            <a:schemeClr val="bg1"/>
          </a:glo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366849</xdr:colOff>
      <xdr:row>33</xdr:row>
      <xdr:rowOff>42182</xdr:rowOff>
    </xdr:from>
    <xdr:to>
      <xdr:col>6</xdr:col>
      <xdr:colOff>161832</xdr:colOff>
      <xdr:row>41</xdr:row>
      <xdr:rowOff>55565</xdr:rowOff>
    </xdr:to>
    <xdr:pic>
      <xdr:nvPicPr>
        <xdr:cNvPr id="5" name="Picture 4" descr="C:\Users\PREFCON TECHNOLOGIES\Desktop\Work\SCE Course\91756-5441695.jpg">
          <a:extLst>
            <a:ext uri="{FF2B5EF4-FFF2-40B4-BE49-F238E27FC236}">
              <a16:creationId xmlns:a16="http://schemas.microsoft.com/office/drawing/2014/main" id="{914AD446-1CCA-4289-98B2-4AC7071659D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01935" y="6279696"/>
          <a:ext cx="2973610" cy="1493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715496</xdr:colOff>
      <xdr:row>2</xdr:row>
      <xdr:rowOff>112619</xdr:rowOff>
    </xdr:from>
    <xdr:to>
      <xdr:col>15</xdr:col>
      <xdr:colOff>463139</xdr:colOff>
      <xdr:row>7</xdr:row>
      <xdr:rowOff>26299</xdr:rowOff>
    </xdr:to>
    <xdr:pic>
      <xdr:nvPicPr>
        <xdr:cNvPr id="6" name="Picture 5" descr="C:\Users\PREFCO~1\AppData\Local\Temp\MicrosoftEdgeDownloads\1efaca44-d228-48d7-aeb7-3c9c979f51bc\Logo mit text.jpg">
          <a:extLst>
            <a:ext uri="{FF2B5EF4-FFF2-40B4-BE49-F238E27FC236}">
              <a16:creationId xmlns:a16="http://schemas.microsoft.com/office/drawing/2014/main" id="{13D830C6-B100-458E-AF91-BF9B8D97777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027584" y="493619"/>
          <a:ext cx="2616349" cy="810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152399</xdr:colOff>
      <xdr:row>26</xdr:row>
      <xdr:rowOff>95250</xdr:rowOff>
    </xdr:from>
    <xdr:to>
      <xdr:col>14</xdr:col>
      <xdr:colOff>295275</xdr:colOff>
      <xdr:row>41</xdr:row>
      <xdr:rowOff>38099</xdr:rowOff>
    </xdr:to>
    <xdr:pic>
      <xdr:nvPicPr>
        <xdr:cNvPr id="7" name="Picture 6">
          <a:extLst>
            <a:ext uri="{FF2B5EF4-FFF2-40B4-BE49-F238E27FC236}">
              <a16:creationId xmlns:a16="http://schemas.microsoft.com/office/drawing/2014/main" id="{77DB9788-9231-40AD-BDC7-6BD4AF23EDE3}"/>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8355" t="9524" r="9628"/>
        <a:stretch/>
      </xdr:blipFill>
      <xdr:spPr bwMode="auto">
        <a:xfrm>
          <a:off x="10715624" y="4933950"/>
          <a:ext cx="2371726" cy="2657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77944</xdr:colOff>
      <xdr:row>31</xdr:row>
      <xdr:rowOff>85806</xdr:rowOff>
    </xdr:from>
    <xdr:to>
      <xdr:col>9</xdr:col>
      <xdr:colOff>216513</xdr:colOff>
      <xdr:row>40</xdr:row>
      <xdr:rowOff>71927</xdr:rowOff>
    </xdr:to>
    <xdr:pic>
      <xdr:nvPicPr>
        <xdr:cNvPr id="2" name="Grafik 1">
          <a:extLst>
            <a:ext uri="{FF2B5EF4-FFF2-40B4-BE49-F238E27FC236}">
              <a16:creationId xmlns:a16="http://schemas.microsoft.com/office/drawing/2014/main" id="{A01C0298-2792-49F0-BFC5-FFC653928EA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21326" y="5431012"/>
          <a:ext cx="1572922" cy="1599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469990</xdr:colOff>
      <xdr:row>37</xdr:row>
      <xdr:rowOff>143148</xdr:rowOff>
    </xdr:from>
    <xdr:ext cx="522707" cy="374141"/>
    <xdr:sp macro="" textlink="">
      <xdr:nvSpPr>
        <xdr:cNvPr id="3" name="Textfeld 2">
          <a:extLst>
            <a:ext uri="{FF2B5EF4-FFF2-40B4-BE49-F238E27FC236}">
              <a16:creationId xmlns:a16="http://schemas.microsoft.com/office/drawing/2014/main" id="{9A3E1904-9D4B-4CEE-9336-DAA915D582E1}"/>
            </a:ext>
          </a:extLst>
        </xdr:cNvPr>
        <xdr:cNvSpPr txBox="1"/>
      </xdr:nvSpPr>
      <xdr:spPr>
        <a:xfrm>
          <a:off x="5956390" y="7120891"/>
          <a:ext cx="522707"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800" kern="1200"/>
            <a:t>EPS</a:t>
          </a:r>
        </a:p>
      </xdr:txBody>
    </xdr:sp>
    <xdr:clientData/>
  </xdr:oneCellAnchor>
  <xdr:oneCellAnchor>
    <xdr:from>
      <xdr:col>6</xdr:col>
      <xdr:colOff>406581</xdr:colOff>
      <xdr:row>37</xdr:row>
      <xdr:rowOff>145053</xdr:rowOff>
    </xdr:from>
    <xdr:ext cx="717697" cy="374141"/>
    <xdr:sp macro="" textlink="">
      <xdr:nvSpPr>
        <xdr:cNvPr id="8" name="Textfeld 7">
          <a:extLst>
            <a:ext uri="{FF2B5EF4-FFF2-40B4-BE49-F238E27FC236}">
              <a16:creationId xmlns:a16="http://schemas.microsoft.com/office/drawing/2014/main" id="{F60D3386-B352-418D-8B6B-B8949ABB6B78}"/>
            </a:ext>
          </a:extLst>
        </xdr:cNvPr>
        <xdr:cNvSpPr txBox="1"/>
      </xdr:nvSpPr>
      <xdr:spPr>
        <a:xfrm>
          <a:off x="6720295" y="7122796"/>
          <a:ext cx="717697"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800" kern="1200"/>
            <a:t>Straw</a:t>
          </a:r>
        </a:p>
      </xdr:txBody>
    </xdr:sp>
    <xdr:clientData/>
  </xdr:oneCellAnchor>
  <xdr:twoCellAnchor editAs="oneCell">
    <xdr:from>
      <xdr:col>14</xdr:col>
      <xdr:colOff>201707</xdr:colOff>
      <xdr:row>27</xdr:row>
      <xdr:rowOff>33616</xdr:rowOff>
    </xdr:from>
    <xdr:to>
      <xdr:col>15</xdr:col>
      <xdr:colOff>618496</xdr:colOff>
      <xdr:row>29</xdr:row>
      <xdr:rowOff>56029</xdr:rowOff>
    </xdr:to>
    <xdr:pic>
      <xdr:nvPicPr>
        <xdr:cNvPr id="9" name="Grafik 8">
          <a:extLst>
            <a:ext uri="{FF2B5EF4-FFF2-40B4-BE49-F238E27FC236}">
              <a16:creationId xmlns:a16="http://schemas.microsoft.com/office/drawing/2014/main" id="{3653E705-9E37-F502-64BB-E13737B4B93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1665325" y="4661645"/>
          <a:ext cx="1133966" cy="3810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752475</xdr:colOff>
      <xdr:row>5</xdr:row>
      <xdr:rowOff>0</xdr:rowOff>
    </xdr:from>
    <xdr:ext cx="7143750" cy="4324350"/>
    <xdr:graphicFrame macro="">
      <xdr:nvGraphicFramePr>
        <xdr:cNvPr id="159043735" name="Chart 1">
          <a:extLst>
            <a:ext uri="{FF2B5EF4-FFF2-40B4-BE49-F238E27FC236}">
              <a16:creationId xmlns:a16="http://schemas.microsoft.com/office/drawing/2014/main" id="{00000000-0008-0000-0300-000097D07A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752475</xdr:colOff>
      <xdr:row>33</xdr:row>
      <xdr:rowOff>0</xdr:rowOff>
    </xdr:from>
    <xdr:ext cx="7143750" cy="4324350"/>
    <xdr:graphicFrame macro="">
      <xdr:nvGraphicFramePr>
        <xdr:cNvPr id="765440241" name="Chart 2">
          <a:extLst>
            <a:ext uri="{FF2B5EF4-FFF2-40B4-BE49-F238E27FC236}">
              <a16:creationId xmlns:a16="http://schemas.microsoft.com/office/drawing/2014/main" id="{00000000-0008-0000-0300-0000F1B09F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5.xml><?xml version="1.0" encoding="utf-8"?>
<xdr:wsDr xmlns:xdr="http://schemas.openxmlformats.org/drawingml/2006/spreadsheetDrawing" xmlns:a="http://schemas.openxmlformats.org/drawingml/2006/main">
  <xdr:twoCellAnchor editAs="oneCell">
    <xdr:from>
      <xdr:col>1</xdr:col>
      <xdr:colOff>175266</xdr:colOff>
      <xdr:row>3</xdr:row>
      <xdr:rowOff>41563</xdr:rowOff>
    </xdr:from>
    <xdr:to>
      <xdr:col>1</xdr:col>
      <xdr:colOff>2396496</xdr:colOff>
      <xdr:row>12</xdr:row>
      <xdr:rowOff>30703</xdr:rowOff>
    </xdr:to>
    <xdr:pic>
      <xdr:nvPicPr>
        <xdr:cNvPr id="2" name="Grafik 1">
          <a:extLst>
            <a:ext uri="{FF2B5EF4-FFF2-40B4-BE49-F238E27FC236}">
              <a16:creationId xmlns:a16="http://schemas.microsoft.com/office/drawing/2014/main" id="{0C5BA14D-B653-4AFB-A09A-3B7A67661E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560" y="1005269"/>
          <a:ext cx="2221230" cy="16879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175266</xdr:colOff>
      <xdr:row>12</xdr:row>
      <xdr:rowOff>112047</xdr:rowOff>
    </xdr:from>
    <xdr:to>
      <xdr:col>1</xdr:col>
      <xdr:colOff>2430786</xdr:colOff>
      <xdr:row>18</xdr:row>
      <xdr:rowOff>79663</xdr:rowOff>
    </xdr:to>
    <xdr:pic>
      <xdr:nvPicPr>
        <xdr:cNvPr id="3" name="Grafik 2">
          <a:extLst>
            <a:ext uri="{FF2B5EF4-FFF2-40B4-BE49-F238E27FC236}">
              <a16:creationId xmlns:a16="http://schemas.microsoft.com/office/drawing/2014/main" id="{CDEE1AF2-B9F2-4F0E-912D-A81D115F674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560" y="2991959"/>
          <a:ext cx="2255520" cy="1110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167646</xdr:colOff>
      <xdr:row>20</xdr:row>
      <xdr:rowOff>3808</xdr:rowOff>
    </xdr:from>
    <xdr:to>
      <xdr:col>1</xdr:col>
      <xdr:colOff>2434596</xdr:colOff>
      <xdr:row>26</xdr:row>
      <xdr:rowOff>117763</xdr:rowOff>
    </xdr:to>
    <xdr:pic>
      <xdr:nvPicPr>
        <xdr:cNvPr id="4" name="Grafik 3">
          <a:extLst>
            <a:ext uri="{FF2B5EF4-FFF2-40B4-BE49-F238E27FC236}">
              <a16:creationId xmlns:a16="http://schemas.microsoft.com/office/drawing/2014/main" id="{EEBD6CB9-8D02-46E1-9BD7-A92209143EA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5682" y="4464972"/>
          <a:ext cx="2255520" cy="1277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175266</xdr:colOff>
      <xdr:row>28</xdr:row>
      <xdr:rowOff>3808</xdr:rowOff>
    </xdr:from>
    <xdr:to>
      <xdr:col>1</xdr:col>
      <xdr:colOff>2358396</xdr:colOff>
      <xdr:row>35</xdr:row>
      <xdr:rowOff>3809</xdr:rowOff>
    </xdr:to>
    <xdr:pic>
      <xdr:nvPicPr>
        <xdr:cNvPr id="5" name="Grafik 4">
          <a:extLst>
            <a:ext uri="{FF2B5EF4-FFF2-40B4-BE49-F238E27FC236}">
              <a16:creationId xmlns:a16="http://schemas.microsoft.com/office/drawing/2014/main" id="{BC470AD6-BEE5-4A1D-9FDD-BC6B6E67B5E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43302" y="6016681"/>
          <a:ext cx="2171700" cy="13577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170329</xdr:colOff>
      <xdr:row>2</xdr:row>
      <xdr:rowOff>44823</xdr:rowOff>
    </xdr:from>
    <xdr:to>
      <xdr:col>18</xdr:col>
      <xdr:colOff>627529</xdr:colOff>
      <xdr:row>5</xdr:row>
      <xdr:rowOff>34070</xdr:rowOff>
    </xdr:to>
    <xdr:pic>
      <xdr:nvPicPr>
        <xdr:cNvPr id="7" name="Picture 6">
          <a:extLst>
            <a:ext uri="{FF2B5EF4-FFF2-40B4-BE49-F238E27FC236}">
              <a16:creationId xmlns:a16="http://schemas.microsoft.com/office/drawing/2014/main" id="{F788E67F-8E2C-60E6-7DD1-1AC9F2BC9E2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412070" y="412376"/>
          <a:ext cx="2841812" cy="5271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15</xdr:col>
      <xdr:colOff>438360</xdr:colOff>
      <xdr:row>9</xdr:row>
      <xdr:rowOff>12926</xdr:rowOff>
    </xdr:from>
    <xdr:to>
      <xdr:col>25</xdr:col>
      <xdr:colOff>663732</xdr:colOff>
      <xdr:row>28</xdr:row>
      <xdr:rowOff>149678</xdr:rowOff>
    </xdr:to>
    <xdr:pic>
      <xdr:nvPicPr>
        <xdr:cNvPr id="3" name="Picture 2" descr="C:\Users\PREFCON TECHNOLOGIES\AppData\Local\Packages\Microsoft.Windows.Photos_8wekyb3d8bbwe\TempState\ShareServiceTempFolder\thermal energy storage.jpeg">
          <a:extLst>
            <a:ext uri="{FF2B5EF4-FFF2-40B4-BE49-F238E27FC236}">
              <a16:creationId xmlns:a16="http://schemas.microsoft.com/office/drawing/2014/main" id="{2F3214E2-D192-4AF0-AF21-5ABBE49F5F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68360" y="1604962"/>
          <a:ext cx="7437158" cy="3905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381002</xdr:colOff>
      <xdr:row>23</xdr:row>
      <xdr:rowOff>133351</xdr:rowOff>
    </xdr:from>
    <xdr:to>
      <xdr:col>3</xdr:col>
      <xdr:colOff>969649</xdr:colOff>
      <xdr:row>42</xdr:row>
      <xdr:rowOff>953</xdr:rowOff>
    </xdr:to>
    <xdr:pic>
      <xdr:nvPicPr>
        <xdr:cNvPr id="4" name="Picture 3" descr="CANADIAN SOLAR PV MODULE MONOCRYSTALLINE 485W #CS3Y-485 | EYBY">
          <a:extLst>
            <a:ext uri="{FF2B5EF4-FFF2-40B4-BE49-F238E27FC236}">
              <a16:creationId xmlns:a16="http://schemas.microsoft.com/office/drawing/2014/main" id="{09978FED-A27F-4186-A4BA-B296FBD6332E}"/>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3768" t="6000" r="31732" b="500"/>
        <a:stretch/>
      </xdr:blipFill>
      <xdr:spPr bwMode="auto">
        <a:xfrm rot="818979">
          <a:off x="942977" y="4419601"/>
          <a:ext cx="1314451" cy="3562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47625</xdr:colOff>
      <xdr:row>23</xdr:row>
      <xdr:rowOff>57151</xdr:rowOff>
    </xdr:from>
    <xdr:to>
      <xdr:col>5</xdr:col>
      <xdr:colOff>438150</xdr:colOff>
      <xdr:row>41</xdr:row>
      <xdr:rowOff>88265</xdr:rowOff>
    </xdr:to>
    <xdr:pic>
      <xdr:nvPicPr>
        <xdr:cNvPr id="5" name="Picture 4" descr="CANADIAN SOLAR PV MODULE MONOCRYSTALLINE 485W #CS3Y-485 | EYBY">
          <a:extLst>
            <a:ext uri="{FF2B5EF4-FFF2-40B4-BE49-F238E27FC236}">
              <a16:creationId xmlns:a16="http://schemas.microsoft.com/office/drawing/2014/main" id="{93F41369-85F4-4CEF-833E-477A4FC5967B}"/>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3768" t="6000" r="31732" b="500"/>
        <a:stretch/>
      </xdr:blipFill>
      <xdr:spPr bwMode="auto">
        <a:xfrm rot="818979">
          <a:off x="2638425" y="4343401"/>
          <a:ext cx="1314451" cy="3562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285750</xdr:colOff>
      <xdr:row>23</xdr:row>
      <xdr:rowOff>152400</xdr:rowOff>
    </xdr:from>
    <xdr:to>
      <xdr:col>10</xdr:col>
      <xdr:colOff>286501</xdr:colOff>
      <xdr:row>39</xdr:row>
      <xdr:rowOff>95250</xdr:rowOff>
    </xdr:to>
    <xdr:pic>
      <xdr:nvPicPr>
        <xdr:cNvPr id="6" name="Picture 5">
          <a:extLst>
            <a:ext uri="{FF2B5EF4-FFF2-40B4-BE49-F238E27FC236}">
              <a16:creationId xmlns:a16="http://schemas.microsoft.com/office/drawing/2014/main" id="{B1963B75-EC4A-4FA9-B694-0FAD53CB1AA2}"/>
            </a:ext>
          </a:extLst>
        </xdr:cNvPr>
        <xdr:cNvPicPr>
          <a:picLocks noChangeAspect="1"/>
        </xdr:cNvPicPr>
      </xdr:nvPicPr>
      <xdr:blipFill>
        <a:blip xmlns:r="http://schemas.openxmlformats.org/officeDocument/2006/relationships" r:embed="rId3"/>
        <a:stretch>
          <a:fillRect/>
        </a:stretch>
      </xdr:blipFill>
      <xdr:spPr>
        <a:xfrm>
          <a:off x="5143500" y="4438650"/>
          <a:ext cx="1934326" cy="3114675"/>
        </a:xfrm>
        <a:prstGeom prst="rect">
          <a:avLst/>
        </a:prstGeom>
      </xdr:spPr>
    </xdr:pic>
    <xdr:clientData/>
  </xdr:twoCellAnchor>
  <xdr:twoCellAnchor editAs="oneCell">
    <xdr:from>
      <xdr:col>11</xdr:col>
      <xdr:colOff>253205</xdr:colOff>
      <xdr:row>23</xdr:row>
      <xdr:rowOff>29369</xdr:rowOff>
    </xdr:from>
    <xdr:to>
      <xdr:col>15</xdr:col>
      <xdr:colOff>235987</xdr:colOff>
      <xdr:row>38</xdr:row>
      <xdr:rowOff>7144</xdr:rowOff>
    </xdr:to>
    <xdr:pic>
      <xdr:nvPicPr>
        <xdr:cNvPr id="7" name="Picture 6">
          <a:extLst>
            <a:ext uri="{FF2B5EF4-FFF2-40B4-BE49-F238E27FC236}">
              <a16:creationId xmlns:a16="http://schemas.microsoft.com/office/drawing/2014/main" id="{EEE0890A-C42D-4F6B-9FDB-9DE98300E4C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194674" y="4267994"/>
          <a:ext cx="2894257" cy="2936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118310</xdr:colOff>
      <xdr:row>3</xdr:row>
      <xdr:rowOff>12925</xdr:rowOff>
    </xdr:from>
    <xdr:to>
      <xdr:col>25</xdr:col>
      <xdr:colOff>372500</xdr:colOff>
      <xdr:row>7</xdr:row>
      <xdr:rowOff>122464</xdr:rowOff>
    </xdr:to>
    <xdr:pic>
      <xdr:nvPicPr>
        <xdr:cNvPr id="8" name="Picture 5" descr="C:\Users\PREFCO~1\AppData\Local\Temp\MicrosoftEdgeDownloads\1efaca44-d228-48d7-aeb7-3c9c979f51bc\Logo mit text.jpg">
          <a:extLst>
            <a:ext uri="{FF2B5EF4-FFF2-40B4-BE49-F238E27FC236}">
              <a16:creationId xmlns:a16="http://schemas.microsoft.com/office/drawing/2014/main" id="{8841650C-DB1E-46A3-952A-E36A8228545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5385524" y="543604"/>
          <a:ext cx="3138905" cy="953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231318</xdr:colOff>
      <xdr:row>30</xdr:row>
      <xdr:rowOff>30665</xdr:rowOff>
    </xdr:from>
    <xdr:to>
      <xdr:col>20</xdr:col>
      <xdr:colOff>2054</xdr:colOff>
      <xdr:row>45</xdr:row>
      <xdr:rowOff>0</xdr:rowOff>
    </xdr:to>
    <xdr:pic>
      <xdr:nvPicPr>
        <xdr:cNvPr id="10" name="Grafik 9">
          <a:extLst>
            <a:ext uri="{FF2B5EF4-FFF2-40B4-BE49-F238E27FC236}">
              <a16:creationId xmlns:a16="http://schemas.microsoft.com/office/drawing/2014/main" id="{4C9EAF53-C842-9A73-EAF3-681E87E30747}"/>
            </a:ext>
          </a:extLst>
        </xdr:cNvPr>
        <xdr:cNvPicPr>
          <a:picLocks noChangeAspect="1"/>
        </xdr:cNvPicPr>
      </xdr:nvPicPr>
      <xdr:blipFill rotWithShape="1">
        <a:blip xmlns:r="http://schemas.openxmlformats.org/officeDocument/2006/relationships" r:embed="rId6"/>
        <a:srcRect b="11545"/>
        <a:stretch/>
      </xdr:blipFill>
      <xdr:spPr>
        <a:xfrm>
          <a:off x="12382497" y="5745665"/>
          <a:ext cx="2655451" cy="2622728"/>
        </a:xfrm>
        <a:prstGeom prst="rect">
          <a:avLst/>
        </a:prstGeom>
      </xdr:spPr>
    </xdr:pic>
    <xdr:clientData/>
  </xdr:twoCellAnchor>
  <xdr:twoCellAnchor editAs="oneCell">
    <xdr:from>
      <xdr:col>20</xdr:col>
      <xdr:colOff>234743</xdr:colOff>
      <xdr:row>30</xdr:row>
      <xdr:rowOff>13605</xdr:rowOff>
    </xdr:from>
    <xdr:to>
      <xdr:col>25</xdr:col>
      <xdr:colOff>32350</xdr:colOff>
      <xdr:row>44</xdr:row>
      <xdr:rowOff>176892</xdr:rowOff>
    </xdr:to>
    <xdr:pic>
      <xdr:nvPicPr>
        <xdr:cNvPr id="11" name="Grafik 10">
          <a:extLst>
            <a:ext uri="{FF2B5EF4-FFF2-40B4-BE49-F238E27FC236}">
              <a16:creationId xmlns:a16="http://schemas.microsoft.com/office/drawing/2014/main" id="{43ACEC38-F7C1-2F57-3605-E0ED4DF3218E}"/>
            </a:ext>
          </a:extLst>
        </xdr:cNvPr>
        <xdr:cNvPicPr>
          <a:picLocks noChangeAspect="1"/>
        </xdr:cNvPicPr>
      </xdr:nvPicPr>
      <xdr:blipFill>
        <a:blip xmlns:r="http://schemas.openxmlformats.org/officeDocument/2006/relationships" r:embed="rId7"/>
        <a:stretch>
          <a:fillRect/>
        </a:stretch>
      </xdr:blipFill>
      <xdr:spPr>
        <a:xfrm>
          <a:off x="15270636" y="5728605"/>
          <a:ext cx="3403500" cy="263978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277042</xdr:colOff>
      <xdr:row>2</xdr:row>
      <xdr:rowOff>13607</xdr:rowOff>
    </xdr:from>
    <xdr:to>
      <xdr:col>18</xdr:col>
      <xdr:colOff>520882</xdr:colOff>
      <xdr:row>22</xdr:row>
      <xdr:rowOff>166006</xdr:rowOff>
    </xdr:to>
    <xdr:graphicFrame macro="">
      <xdr:nvGraphicFramePr>
        <xdr:cNvPr id="7" name="Chart 6">
          <a:extLst>
            <a:ext uri="{FF2B5EF4-FFF2-40B4-BE49-F238E27FC236}">
              <a16:creationId xmlns:a16="http://schemas.microsoft.com/office/drawing/2014/main" id="{F6F055E3-10DF-4BFD-8286-BF6816E437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291352</xdr:colOff>
      <xdr:row>23</xdr:row>
      <xdr:rowOff>190500</xdr:rowOff>
    </xdr:from>
    <xdr:to>
      <xdr:col>18</xdr:col>
      <xdr:colOff>145676</xdr:colOff>
      <xdr:row>37</xdr:row>
      <xdr:rowOff>1568</xdr:rowOff>
    </xdr:to>
    <xdr:pic>
      <xdr:nvPicPr>
        <xdr:cNvPr id="3" name="Grafik 2">
          <a:extLst>
            <a:ext uri="{FF2B5EF4-FFF2-40B4-BE49-F238E27FC236}">
              <a16:creationId xmlns:a16="http://schemas.microsoft.com/office/drawing/2014/main" id="{EFE41B43-D8AF-3AA7-E819-ABB97AF57F20}"/>
            </a:ext>
          </a:extLst>
        </xdr:cNvPr>
        <xdr:cNvPicPr>
          <a:picLocks noChangeAspect="1"/>
        </xdr:cNvPicPr>
      </xdr:nvPicPr>
      <xdr:blipFill>
        <a:blip xmlns:r="http://schemas.openxmlformats.org/officeDocument/2006/relationships" r:embed="rId2"/>
        <a:stretch>
          <a:fillRect/>
        </a:stretch>
      </xdr:blipFill>
      <xdr:spPr>
        <a:xfrm>
          <a:off x="8213911" y="4314265"/>
          <a:ext cx="5546912" cy="2724597"/>
        </a:xfrm>
        <a:prstGeom prst="rect">
          <a:avLst/>
        </a:prstGeom>
      </xdr:spPr>
    </xdr:pic>
    <xdr:clientData/>
  </xdr:twoCellAnchor>
  <xdr:twoCellAnchor editAs="oneCell">
    <xdr:from>
      <xdr:col>2</xdr:col>
      <xdr:colOff>735105</xdr:colOff>
      <xdr:row>30</xdr:row>
      <xdr:rowOff>170329</xdr:rowOff>
    </xdr:from>
    <xdr:to>
      <xdr:col>7</xdr:col>
      <xdr:colOff>870617</xdr:colOff>
      <xdr:row>34</xdr:row>
      <xdr:rowOff>143435</xdr:rowOff>
    </xdr:to>
    <xdr:pic>
      <xdr:nvPicPr>
        <xdr:cNvPr id="4" name="Picture 3">
          <a:extLst>
            <a:ext uri="{FF2B5EF4-FFF2-40B4-BE49-F238E27FC236}">
              <a16:creationId xmlns:a16="http://schemas.microsoft.com/office/drawing/2014/main" id="{582CF227-64D6-4899-8A9E-0B2ED837561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52917" y="5952564"/>
          <a:ext cx="3721394" cy="69028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29</xdr:col>
      <xdr:colOff>9525</xdr:colOff>
      <xdr:row>86</xdr:row>
      <xdr:rowOff>0</xdr:rowOff>
    </xdr:from>
    <xdr:ext cx="7296150" cy="4819650"/>
    <xdr:graphicFrame macro="">
      <xdr:nvGraphicFramePr>
        <xdr:cNvPr id="456915896" name="Chart 4">
          <a:extLst>
            <a:ext uri="{FF2B5EF4-FFF2-40B4-BE49-F238E27FC236}">
              <a16:creationId xmlns:a16="http://schemas.microsoft.com/office/drawing/2014/main" id="{00000000-0008-0000-0600-0000B8FB3B1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15</xdr:col>
      <xdr:colOff>9525</xdr:colOff>
      <xdr:row>88</xdr:row>
      <xdr:rowOff>9525</xdr:rowOff>
    </xdr:from>
    <xdr:ext cx="4533900" cy="2657475"/>
    <xdr:graphicFrame macro="">
      <xdr:nvGraphicFramePr>
        <xdr:cNvPr id="575197725" name="Chart 5">
          <a:extLst>
            <a:ext uri="{FF2B5EF4-FFF2-40B4-BE49-F238E27FC236}">
              <a16:creationId xmlns:a16="http://schemas.microsoft.com/office/drawing/2014/main" id="{00000000-0008-0000-0600-00001DD248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9</xdr:col>
      <xdr:colOff>333375</xdr:colOff>
      <xdr:row>121</xdr:row>
      <xdr:rowOff>123825</xdr:rowOff>
    </xdr:from>
    <xdr:ext cx="4514850" cy="2667000"/>
    <xdr:graphicFrame macro="">
      <xdr:nvGraphicFramePr>
        <xdr:cNvPr id="1974545461" name="Chart 6">
          <a:extLst>
            <a:ext uri="{FF2B5EF4-FFF2-40B4-BE49-F238E27FC236}">
              <a16:creationId xmlns:a16="http://schemas.microsoft.com/office/drawing/2014/main" id="{00000000-0008-0000-0600-0000352CB17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17</xdr:col>
      <xdr:colOff>771525</xdr:colOff>
      <xdr:row>41</xdr:row>
      <xdr:rowOff>171450</xdr:rowOff>
    </xdr:from>
    <xdr:ext cx="4419600" cy="3124200"/>
    <xdr:graphicFrame macro="">
      <xdr:nvGraphicFramePr>
        <xdr:cNvPr id="1172135346" name="Chart 7">
          <a:extLst>
            <a:ext uri="{FF2B5EF4-FFF2-40B4-BE49-F238E27FC236}">
              <a16:creationId xmlns:a16="http://schemas.microsoft.com/office/drawing/2014/main" id="{00000000-0008-0000-0600-0000B25DDD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6</xdr:col>
      <xdr:colOff>514350</xdr:colOff>
      <xdr:row>42</xdr:row>
      <xdr:rowOff>123825</xdr:rowOff>
    </xdr:from>
    <xdr:ext cx="5172075" cy="1524000"/>
    <xdr:sp macro="" textlink="">
      <xdr:nvSpPr>
        <xdr:cNvPr id="3" name="Shape 3">
          <a:extLst>
            <a:ext uri="{FF2B5EF4-FFF2-40B4-BE49-F238E27FC236}">
              <a16:creationId xmlns:a16="http://schemas.microsoft.com/office/drawing/2014/main" id="{00000000-0008-0000-0600-000003000000}"/>
            </a:ext>
          </a:extLst>
        </xdr:cNvPr>
        <xdr:cNvSpPr txBox="1"/>
      </xdr:nvSpPr>
      <xdr:spPr>
        <a:xfrm>
          <a:off x="2764725" y="3022763"/>
          <a:ext cx="5162550" cy="1514475"/>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None/>
          </a:pPr>
          <a:endParaRPr sz="2000"/>
        </a:p>
      </xdr:txBody>
    </xdr:sp>
    <xdr:clientData fLocksWithSheet="0"/>
  </xdr:oneCellAnchor>
  <xdr:oneCellAnchor>
    <xdr:from>
      <xdr:col>7</xdr:col>
      <xdr:colOff>438150</xdr:colOff>
      <xdr:row>32</xdr:row>
      <xdr:rowOff>95250</xdr:rowOff>
    </xdr:from>
    <xdr:ext cx="2466975" cy="361950"/>
    <xdr:pic>
      <xdr:nvPicPr>
        <xdr:cNvPr id="2" name="image8.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7</xdr:col>
      <xdr:colOff>276225</xdr:colOff>
      <xdr:row>35</xdr:row>
      <xdr:rowOff>104775</xdr:rowOff>
    </xdr:from>
    <xdr:ext cx="2514600" cy="628650"/>
    <xdr:pic>
      <xdr:nvPicPr>
        <xdr:cNvPr id="4" name="image5.png">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7</xdr:col>
      <xdr:colOff>228600</xdr:colOff>
      <xdr:row>39</xdr:row>
      <xdr:rowOff>95250</xdr:rowOff>
    </xdr:from>
    <xdr:ext cx="1914525" cy="285750"/>
    <xdr:pic>
      <xdr:nvPicPr>
        <xdr:cNvPr id="5" name="image7.png">
          <a:extLst>
            <a:ext uri="{FF2B5EF4-FFF2-40B4-BE49-F238E27FC236}">
              <a16:creationId xmlns:a16="http://schemas.microsoft.com/office/drawing/2014/main" id="{00000000-0008-0000-0600-000005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0</xdr:col>
      <xdr:colOff>257175</xdr:colOff>
      <xdr:row>120</xdr:row>
      <xdr:rowOff>161925</xdr:rowOff>
    </xdr:from>
    <xdr:ext cx="2933700" cy="2686050"/>
    <xdr:pic>
      <xdr:nvPicPr>
        <xdr:cNvPr id="6" name="image7.png">
          <a:extLst>
            <a:ext uri="{FF2B5EF4-FFF2-40B4-BE49-F238E27FC236}">
              <a16:creationId xmlns:a16="http://schemas.microsoft.com/office/drawing/2014/main" id="{00000000-0008-0000-0600-000006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6</xdr:col>
      <xdr:colOff>752475</xdr:colOff>
      <xdr:row>95</xdr:row>
      <xdr:rowOff>38100</xdr:rowOff>
    </xdr:from>
    <xdr:ext cx="3476625" cy="1419225"/>
    <xdr:pic>
      <xdr:nvPicPr>
        <xdr:cNvPr id="7" name="image6.png">
          <a:extLst>
            <a:ext uri="{FF2B5EF4-FFF2-40B4-BE49-F238E27FC236}">
              <a16:creationId xmlns:a16="http://schemas.microsoft.com/office/drawing/2014/main" id="{00000000-0008-0000-0600-000007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609600</xdr:colOff>
      <xdr:row>106</xdr:row>
      <xdr:rowOff>66675</xdr:rowOff>
    </xdr:from>
    <xdr:ext cx="2190750" cy="1809750"/>
    <xdr:pic>
      <xdr:nvPicPr>
        <xdr:cNvPr id="8" name="image9.png">
          <a:extLst>
            <a:ext uri="{FF2B5EF4-FFF2-40B4-BE49-F238E27FC236}">
              <a16:creationId xmlns:a16="http://schemas.microsoft.com/office/drawing/2014/main" id="{00000000-0008-0000-0600-000008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twoCellAnchor>
    <xdr:from>
      <xdr:col>21</xdr:col>
      <xdr:colOff>259978</xdr:colOff>
      <xdr:row>4</xdr:row>
      <xdr:rowOff>13446</xdr:rowOff>
    </xdr:from>
    <xdr:to>
      <xdr:col>30</xdr:col>
      <xdr:colOff>8965</xdr:colOff>
      <xdr:row>34</xdr:row>
      <xdr:rowOff>134469</xdr:rowOff>
    </xdr:to>
    <xdr:graphicFrame macro="">
      <xdr:nvGraphicFramePr>
        <xdr:cNvPr id="2" name="Chart 1">
          <a:extLst>
            <a:ext uri="{FF2B5EF4-FFF2-40B4-BE49-F238E27FC236}">
              <a16:creationId xmlns:a16="http://schemas.microsoft.com/office/drawing/2014/main" id="{05E1CA25-B9BB-4FFB-B0C8-241FA2FA85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842683</xdr:colOff>
      <xdr:row>5</xdr:row>
      <xdr:rowOff>125505</xdr:rowOff>
    </xdr:from>
    <xdr:to>
      <xdr:col>20</xdr:col>
      <xdr:colOff>591669</xdr:colOff>
      <xdr:row>12</xdr:row>
      <xdr:rowOff>0</xdr:rowOff>
    </xdr:to>
    <xdr:graphicFrame macro="">
      <xdr:nvGraphicFramePr>
        <xdr:cNvPr id="3" name="Chart 2">
          <a:extLst>
            <a:ext uri="{FF2B5EF4-FFF2-40B4-BE49-F238E27FC236}">
              <a16:creationId xmlns:a16="http://schemas.microsoft.com/office/drawing/2014/main" id="{82C94E1B-1DD6-42FA-AB3C-0B4B0670DC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4227</xdr:colOff>
      <xdr:row>12</xdr:row>
      <xdr:rowOff>107577</xdr:rowOff>
    </xdr:from>
    <xdr:to>
      <xdr:col>11</xdr:col>
      <xdr:colOff>313765</xdr:colOff>
      <xdr:row>15</xdr:row>
      <xdr:rowOff>98612</xdr:rowOff>
    </xdr:to>
    <xdr:graphicFrame macro="">
      <xdr:nvGraphicFramePr>
        <xdr:cNvPr id="4" name="Chart 3">
          <a:extLst>
            <a:ext uri="{FF2B5EF4-FFF2-40B4-BE49-F238E27FC236}">
              <a16:creationId xmlns:a16="http://schemas.microsoft.com/office/drawing/2014/main" id="{5F6D2C9F-57D2-4D50-BA93-72B38CE324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692875</xdr:colOff>
      <xdr:row>94</xdr:row>
      <xdr:rowOff>161472</xdr:rowOff>
    </xdr:from>
    <xdr:to>
      <xdr:col>27</xdr:col>
      <xdr:colOff>609016</xdr:colOff>
      <xdr:row>110</xdr:row>
      <xdr:rowOff>100766</xdr:rowOff>
    </xdr:to>
    <xdr:graphicFrame macro="">
      <xdr:nvGraphicFramePr>
        <xdr:cNvPr id="5" name="Chart 4">
          <a:extLst>
            <a:ext uri="{FF2B5EF4-FFF2-40B4-BE49-F238E27FC236}">
              <a16:creationId xmlns:a16="http://schemas.microsoft.com/office/drawing/2014/main" id="{D43420F7-DEF3-4BB1-AA1E-59A3232490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698795</xdr:colOff>
      <xdr:row>78</xdr:row>
      <xdr:rowOff>178868</xdr:rowOff>
    </xdr:from>
    <xdr:to>
      <xdr:col>28</xdr:col>
      <xdr:colOff>5336</xdr:colOff>
      <xdr:row>94</xdr:row>
      <xdr:rowOff>118163</xdr:rowOff>
    </xdr:to>
    <xdr:graphicFrame macro="">
      <xdr:nvGraphicFramePr>
        <xdr:cNvPr id="6" name="Chart 5">
          <a:extLst>
            <a:ext uri="{FF2B5EF4-FFF2-40B4-BE49-F238E27FC236}">
              <a16:creationId xmlns:a16="http://schemas.microsoft.com/office/drawing/2014/main" id="{A144F845-5691-45A6-84D0-2E8EED4BEA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695515</xdr:colOff>
      <xdr:row>110</xdr:row>
      <xdr:rowOff>144077</xdr:rowOff>
    </xdr:from>
    <xdr:to>
      <xdr:col>28</xdr:col>
      <xdr:colOff>2056</xdr:colOff>
      <xdr:row>126</xdr:row>
      <xdr:rowOff>83371</xdr:rowOff>
    </xdr:to>
    <xdr:graphicFrame macro="">
      <xdr:nvGraphicFramePr>
        <xdr:cNvPr id="7" name="Chart 6">
          <a:extLst>
            <a:ext uri="{FF2B5EF4-FFF2-40B4-BE49-F238E27FC236}">
              <a16:creationId xmlns:a16="http://schemas.microsoft.com/office/drawing/2014/main" id="{B31ECE55-33B6-4ADA-96A5-C7E0642FFC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29</xdr:col>
      <xdr:colOff>373315</xdr:colOff>
      <xdr:row>7</xdr:row>
      <xdr:rowOff>65314</xdr:rowOff>
    </xdr:from>
    <xdr:to>
      <xdr:col>33</xdr:col>
      <xdr:colOff>457199</xdr:colOff>
      <xdr:row>28</xdr:row>
      <xdr:rowOff>163286</xdr:rowOff>
    </xdr:to>
    <xdr:graphicFrame macro="">
      <xdr:nvGraphicFramePr>
        <xdr:cNvPr id="8" name="Chart 7">
          <a:extLst>
            <a:ext uri="{FF2B5EF4-FFF2-40B4-BE49-F238E27FC236}">
              <a16:creationId xmlns:a16="http://schemas.microsoft.com/office/drawing/2014/main" id="{04492F25-13FA-4777-B239-40DA5E3FD6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27</xdr:col>
      <xdr:colOff>206188</xdr:colOff>
      <xdr:row>9</xdr:row>
      <xdr:rowOff>10244</xdr:rowOff>
    </xdr:from>
    <xdr:to>
      <xdr:col>29</xdr:col>
      <xdr:colOff>302238</xdr:colOff>
      <xdr:row>9</xdr:row>
      <xdr:rowOff>10244</xdr:rowOff>
    </xdr:to>
    <xdr:cxnSp macro="">
      <xdr:nvCxnSpPr>
        <xdr:cNvPr id="9" name="Straight Arrow Connector 8">
          <a:extLst>
            <a:ext uri="{FF2B5EF4-FFF2-40B4-BE49-F238E27FC236}">
              <a16:creationId xmlns:a16="http://schemas.microsoft.com/office/drawing/2014/main" id="{ED9E1B69-5AC7-4DF4-93CA-D8BE06E20DF6}"/>
            </a:ext>
          </a:extLst>
        </xdr:cNvPr>
        <xdr:cNvCxnSpPr/>
      </xdr:nvCxnSpPr>
      <xdr:spPr>
        <a:xfrm>
          <a:off x="14415247" y="1821115"/>
          <a:ext cx="131525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43542</xdr:colOff>
      <xdr:row>40</xdr:row>
      <xdr:rowOff>76200</xdr:rowOff>
    </xdr:from>
    <xdr:to>
      <xdr:col>20</xdr:col>
      <xdr:colOff>587829</xdr:colOff>
      <xdr:row>52</xdr:row>
      <xdr:rowOff>152400</xdr:rowOff>
    </xdr:to>
    <xdr:graphicFrame macro="">
      <xdr:nvGraphicFramePr>
        <xdr:cNvPr id="10" name="Chart 9">
          <a:extLst>
            <a:ext uri="{FF2B5EF4-FFF2-40B4-BE49-F238E27FC236}">
              <a16:creationId xmlns:a16="http://schemas.microsoft.com/office/drawing/2014/main" id="{20FA0118-B91B-4F0B-9182-F4DA5EAE41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34</xdr:col>
      <xdr:colOff>76200</xdr:colOff>
      <xdr:row>4</xdr:row>
      <xdr:rowOff>10885</xdr:rowOff>
    </xdr:from>
    <xdr:to>
      <xdr:col>42</xdr:col>
      <xdr:colOff>108215</xdr:colOff>
      <xdr:row>34</xdr:row>
      <xdr:rowOff>131908</xdr:rowOff>
    </xdr:to>
    <xdr:graphicFrame macro="">
      <xdr:nvGraphicFramePr>
        <xdr:cNvPr id="11" name="Chart 10">
          <a:extLst>
            <a:ext uri="{FF2B5EF4-FFF2-40B4-BE49-F238E27FC236}">
              <a16:creationId xmlns:a16="http://schemas.microsoft.com/office/drawing/2014/main" id="{96D5FFA8-3CBE-49D9-A06C-A8A94DD23D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34</xdr:col>
      <xdr:colOff>65314</xdr:colOff>
      <xdr:row>35</xdr:row>
      <xdr:rowOff>87085</xdr:rowOff>
    </xdr:from>
    <xdr:to>
      <xdr:col>42</xdr:col>
      <xdr:colOff>108857</xdr:colOff>
      <xdr:row>51</xdr:row>
      <xdr:rowOff>10886</xdr:rowOff>
    </xdr:to>
    <xdr:graphicFrame macro="">
      <xdr:nvGraphicFramePr>
        <xdr:cNvPr id="12" name="Chart 11">
          <a:extLst>
            <a:ext uri="{FF2B5EF4-FFF2-40B4-BE49-F238E27FC236}">
              <a16:creationId xmlns:a16="http://schemas.microsoft.com/office/drawing/2014/main" id="{52DBEBCB-E7BA-40F1-B41F-D0F6D84BF7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304799</xdr:colOff>
      <xdr:row>118</xdr:row>
      <xdr:rowOff>21772</xdr:rowOff>
    </xdr:from>
    <xdr:to>
      <xdr:col>17</xdr:col>
      <xdr:colOff>130629</xdr:colOff>
      <xdr:row>147</xdr:row>
      <xdr:rowOff>1</xdr:rowOff>
    </xdr:to>
    <xdr:graphicFrame macro="">
      <xdr:nvGraphicFramePr>
        <xdr:cNvPr id="13" name="Chart 12">
          <a:extLst>
            <a:ext uri="{FF2B5EF4-FFF2-40B4-BE49-F238E27FC236}">
              <a16:creationId xmlns:a16="http://schemas.microsoft.com/office/drawing/2014/main" id="{EED01713-AD89-465E-9000-A939819FD0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195943</xdr:colOff>
      <xdr:row>118</xdr:row>
      <xdr:rowOff>21772</xdr:rowOff>
    </xdr:from>
    <xdr:to>
      <xdr:col>29</xdr:col>
      <xdr:colOff>424544</xdr:colOff>
      <xdr:row>147</xdr:row>
      <xdr:rowOff>1</xdr:rowOff>
    </xdr:to>
    <xdr:graphicFrame macro="">
      <xdr:nvGraphicFramePr>
        <xdr:cNvPr id="14" name="Chart 13">
          <a:extLst>
            <a:ext uri="{FF2B5EF4-FFF2-40B4-BE49-F238E27FC236}">
              <a16:creationId xmlns:a16="http://schemas.microsoft.com/office/drawing/2014/main" id="{13A1F5FD-87CB-4CDD-BF57-3903651BDF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310243</xdr:colOff>
      <xdr:row>147</xdr:row>
      <xdr:rowOff>40822</xdr:rowOff>
    </xdr:from>
    <xdr:to>
      <xdr:col>17</xdr:col>
      <xdr:colOff>163287</xdr:colOff>
      <xdr:row>176</xdr:row>
      <xdr:rowOff>19051</xdr:rowOff>
    </xdr:to>
    <xdr:graphicFrame macro="">
      <xdr:nvGraphicFramePr>
        <xdr:cNvPr id="15" name="Chart 14">
          <a:extLst>
            <a:ext uri="{FF2B5EF4-FFF2-40B4-BE49-F238E27FC236}">
              <a16:creationId xmlns:a16="http://schemas.microsoft.com/office/drawing/2014/main" id="{192E9F94-26E4-4A17-92C6-6F62E13781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190500</xdr:colOff>
      <xdr:row>147</xdr:row>
      <xdr:rowOff>46264</xdr:rowOff>
    </xdr:from>
    <xdr:to>
      <xdr:col>29</xdr:col>
      <xdr:colOff>397330</xdr:colOff>
      <xdr:row>176</xdr:row>
      <xdr:rowOff>24493</xdr:rowOff>
    </xdr:to>
    <xdr:graphicFrame macro="">
      <xdr:nvGraphicFramePr>
        <xdr:cNvPr id="16" name="Chart 15">
          <a:extLst>
            <a:ext uri="{FF2B5EF4-FFF2-40B4-BE49-F238E27FC236}">
              <a16:creationId xmlns:a16="http://schemas.microsoft.com/office/drawing/2014/main" id="{36BB39DF-5EC0-457A-8F7D-8A0B81B882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310244</xdr:colOff>
      <xdr:row>176</xdr:row>
      <xdr:rowOff>84364</xdr:rowOff>
    </xdr:from>
    <xdr:to>
      <xdr:col>17</xdr:col>
      <xdr:colOff>157845</xdr:colOff>
      <xdr:row>205</xdr:row>
      <xdr:rowOff>62593</xdr:rowOff>
    </xdr:to>
    <xdr:graphicFrame macro="">
      <xdr:nvGraphicFramePr>
        <xdr:cNvPr id="17" name="Chart 16">
          <a:extLst>
            <a:ext uri="{FF2B5EF4-FFF2-40B4-BE49-F238E27FC236}">
              <a16:creationId xmlns:a16="http://schemas.microsoft.com/office/drawing/2014/main" id="{6B5E4083-D312-44EB-958D-6D4C5D6A98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234044</xdr:colOff>
      <xdr:row>176</xdr:row>
      <xdr:rowOff>84364</xdr:rowOff>
    </xdr:from>
    <xdr:to>
      <xdr:col>29</xdr:col>
      <xdr:colOff>468088</xdr:colOff>
      <xdr:row>205</xdr:row>
      <xdr:rowOff>62593</xdr:rowOff>
    </xdr:to>
    <xdr:graphicFrame macro="">
      <xdr:nvGraphicFramePr>
        <xdr:cNvPr id="18" name="Chart 17">
          <a:extLst>
            <a:ext uri="{FF2B5EF4-FFF2-40B4-BE49-F238E27FC236}">
              <a16:creationId xmlns:a16="http://schemas.microsoft.com/office/drawing/2014/main" id="{D7895580-F088-486C-A423-E996BBB7F5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48</xdr:col>
      <xdr:colOff>95250</xdr:colOff>
      <xdr:row>7</xdr:row>
      <xdr:rowOff>106679</xdr:rowOff>
    </xdr:from>
    <xdr:to>
      <xdr:col>56</xdr:col>
      <xdr:colOff>127265</xdr:colOff>
      <xdr:row>29</xdr:row>
      <xdr:rowOff>38100</xdr:rowOff>
    </xdr:to>
    <xdr:graphicFrame macro="">
      <xdr:nvGraphicFramePr>
        <xdr:cNvPr id="19" name="Chart 18">
          <a:extLst>
            <a:ext uri="{FF2B5EF4-FFF2-40B4-BE49-F238E27FC236}">
              <a16:creationId xmlns:a16="http://schemas.microsoft.com/office/drawing/2014/main" id="{8BFBB85D-0E2B-41B6-A7FE-B3EAA063FB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62752</xdr:colOff>
      <xdr:row>2</xdr:row>
      <xdr:rowOff>134470</xdr:rowOff>
    </xdr:from>
    <xdr:to>
      <xdr:col>20</xdr:col>
      <xdr:colOff>188258</xdr:colOff>
      <xdr:row>5</xdr:row>
      <xdr:rowOff>71718</xdr:rowOff>
    </xdr:to>
    <xdr:sp macro="" textlink="">
      <xdr:nvSpPr>
        <xdr:cNvPr id="20" name="Rectangle 19">
          <a:extLst>
            <a:ext uri="{FF2B5EF4-FFF2-40B4-BE49-F238E27FC236}">
              <a16:creationId xmlns:a16="http://schemas.microsoft.com/office/drawing/2014/main" id="{918C95F2-F706-4157-85C1-6DC6C3EBB0AA}"/>
            </a:ext>
          </a:extLst>
        </xdr:cNvPr>
        <xdr:cNvSpPr/>
      </xdr:nvSpPr>
      <xdr:spPr>
        <a:xfrm flipH="1">
          <a:off x="3917576" y="546846"/>
          <a:ext cx="6355976" cy="609601"/>
        </a:xfrm>
        <a:prstGeom prst="rect">
          <a:avLst/>
        </a:prstGeom>
        <a:noFill/>
        <a:ln w="19050">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PREFCON%20TECHNOLOGIES\Desktop\Work\SCE%20Course\Cold%20Room%20Cours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1 Geographic Data"/>
      <sheetName val="2 Input"/>
      <sheetName val="3 Cooling Curve"/>
      <sheetName val="3 Technical Design Output"/>
      <sheetName val="Calculation Sheet"/>
      <sheetName val="5 Weather Data"/>
      <sheetName val="Translation"/>
    </sheetNames>
    <sheetDataSet>
      <sheetData sheetId="0"/>
      <sheetData sheetId="1"/>
      <sheetData sheetId="2"/>
      <sheetData sheetId="3"/>
      <sheetData sheetId="4"/>
      <sheetData sheetId="5"/>
      <sheetData sheetId="6"/>
      <sheetData sheetId="7"/>
    </sheetDataSet>
  </externalBook>
</externalLink>
</file>

<file path=xl/persons/person.xml><?xml version="1.0" encoding="utf-8"?>
<personList xmlns="http://schemas.microsoft.com/office/spreadsheetml/2018/threadedcomments" xmlns:x="http://schemas.openxmlformats.org/spreadsheetml/2006/main">
  <person displayName="Stuart Walker" id="{B72460CD-ACEF-4D26-9750-7CAD2FA2BBC5}" userId="S::Stuart.Walker@est.org.uk::9e159f85-fe05-4d65-8903-c4a224ba3fa2" providerId="AD"/>
  <person displayName="Stuart Walker" id="{A11BBAB5-C1BC-467D-8B8D-FF806EABF26F}" userId="S::s.r.walker@sheffield.ac.uk::af807e32-9e0b-4c81-af74-0d4f6308981b" providerId="AD"/>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25" dT="2024-04-11T07:57:29.99" personId="{A11BBAB5-C1BC-467D-8B8D-FF806EABF26F}" id="{7B098AD4-C169-4FCF-91D7-6B3A987969D2}">
    <text>This is the steel we added to the foundations</text>
  </threadedComment>
  <threadedComment ref="F26" dT="2023-10-04T14:24:39.70" personId="{B72460CD-ACEF-4D26-9750-7CAD2FA2BBC5}" id="{6707417B-8A3A-4044-A8AE-5AD8D022E818}">
    <text>This is the total timber length for the entire external structure, including the PV panel support</text>
  </threadedComment>
  <threadedComment ref="F36" dT="2023-11-01T16:46:34.60" personId="{B72460CD-ACEF-4D26-9750-7CAD2FA2BBC5}" id="{2859266B-F5C0-426C-B9C1-20CF4A2BB4F4}">
    <text>This is the separation distance between bamboo trunks in the mesh</text>
  </threadedComment>
</ThreadedComments>
</file>

<file path=xl/threadedComments/threadedComment2.xml><?xml version="1.0" encoding="utf-8"?>
<ThreadedComments xmlns="http://schemas.microsoft.com/office/spreadsheetml/2018/threadedcomments" xmlns:x="http://schemas.openxmlformats.org/spreadsheetml/2006/main">
  <threadedComment ref="L22" dT="2023-11-22T23:13:37.88" personId="{B72460CD-ACEF-4D26-9750-7CAD2FA2BBC5}" id="{06300C5D-C0FC-4D81-A22D-D9CAB51497C3}">
    <text>This now includes the loss where the doors are</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solar-cooling-engineering.com/" TargetMode="Externa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6.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8.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re.jrc.ec.europa.eu/pvg_tools/en/" TargetMode="Externa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2E75B5"/>
  </sheetPr>
  <dimension ref="A1:Y970"/>
  <sheetViews>
    <sheetView showGridLines="0" tabSelected="1" zoomScale="85" zoomScaleNormal="85" workbookViewId="0"/>
  </sheetViews>
  <sheetFormatPr baseColWidth="10" defaultColWidth="14.42578125" defaultRowHeight="15" customHeight="1"/>
  <cols>
    <col min="1" max="1" width="7.140625" customWidth="1"/>
    <col min="2" max="8" width="10.7109375" customWidth="1"/>
    <col min="9" max="9" width="16.5703125" customWidth="1"/>
    <col min="10" max="11" width="10.7109375" customWidth="1"/>
    <col min="12" max="12" width="14.42578125" customWidth="1"/>
    <col min="13" max="25" width="10.7109375" customWidth="1"/>
  </cols>
  <sheetData>
    <row r="1" spans="1:24" ht="14.25" customHeight="1" thickBot="1">
      <c r="A1" s="83"/>
      <c r="B1" s="76"/>
      <c r="C1" s="76"/>
      <c r="D1" s="76"/>
      <c r="E1" s="76"/>
      <c r="F1" s="76"/>
      <c r="G1" s="76"/>
      <c r="H1" s="76"/>
      <c r="I1" s="76"/>
      <c r="J1" s="76"/>
      <c r="K1" s="76"/>
      <c r="L1" s="76"/>
      <c r="M1" s="2"/>
      <c r="N1" s="2"/>
      <c r="O1" s="2"/>
      <c r="P1" s="2"/>
      <c r="Q1" s="2"/>
      <c r="R1" s="2"/>
      <c r="S1" s="2"/>
      <c r="T1" s="2"/>
    </row>
    <row r="2" spans="1:24" ht="14.25" customHeight="1">
      <c r="A2" s="83"/>
      <c r="B2" s="80"/>
      <c r="C2" s="81"/>
      <c r="D2" s="81"/>
      <c r="E2" s="81"/>
      <c r="F2" s="81"/>
      <c r="G2" s="81"/>
      <c r="H2" s="81"/>
      <c r="I2" s="81"/>
      <c r="J2" s="81"/>
      <c r="K2" s="81"/>
      <c r="L2" s="81"/>
      <c r="M2" s="306"/>
      <c r="N2" s="109"/>
      <c r="O2" s="109"/>
      <c r="P2" s="109"/>
      <c r="Q2" s="109"/>
      <c r="R2" s="109"/>
      <c r="S2" s="110"/>
      <c r="T2" s="2"/>
    </row>
    <row r="3" spans="1:24" ht="14.25" customHeight="1">
      <c r="A3" s="83"/>
      <c r="B3" s="82"/>
      <c r="C3" s="83"/>
      <c r="D3" s="84"/>
      <c r="E3" s="84"/>
      <c r="F3" s="84"/>
      <c r="G3" s="83"/>
      <c r="H3" s="83"/>
      <c r="I3" s="83"/>
      <c r="J3" s="83"/>
      <c r="K3" s="84"/>
      <c r="L3" s="83"/>
      <c r="M3" s="113"/>
      <c r="N3" s="75"/>
      <c r="O3" s="75"/>
      <c r="P3" s="75"/>
      <c r="Q3" s="75"/>
      <c r="R3" s="75"/>
      <c r="S3" s="112"/>
      <c r="T3" s="2"/>
    </row>
    <row r="4" spans="1:24" ht="14.25" customHeight="1">
      <c r="A4" s="83"/>
      <c r="B4" s="82"/>
      <c r="C4" s="83"/>
      <c r="D4" s="83"/>
      <c r="E4" s="237" t="s">
        <v>0</v>
      </c>
      <c r="F4" s="238" t="s">
        <v>1</v>
      </c>
      <c r="G4" s="83"/>
      <c r="H4" s="83"/>
      <c r="I4" s="83"/>
      <c r="J4" s="83"/>
      <c r="K4" s="83"/>
      <c r="L4" s="83"/>
      <c r="M4" s="113"/>
      <c r="N4" s="75"/>
      <c r="O4" s="75"/>
      <c r="P4" s="75"/>
      <c r="Q4" s="75"/>
      <c r="R4" s="75"/>
      <c r="S4" s="112"/>
      <c r="T4" s="2"/>
      <c r="U4" s="2"/>
      <c r="V4" s="2"/>
      <c r="W4" s="2"/>
      <c r="X4" s="2"/>
    </row>
    <row r="5" spans="1:24" ht="14.25" customHeight="1">
      <c r="A5" s="83"/>
      <c r="B5" s="82"/>
      <c r="C5" s="83"/>
      <c r="D5" s="83"/>
      <c r="E5" s="83"/>
      <c r="F5" s="83"/>
      <c r="G5" s="83"/>
      <c r="H5" s="83"/>
      <c r="I5" s="83"/>
      <c r="J5" s="83"/>
      <c r="K5" s="83"/>
      <c r="L5" s="83"/>
      <c r="M5" s="113"/>
      <c r="N5" s="75"/>
      <c r="O5" s="75"/>
      <c r="P5" s="75"/>
      <c r="Q5" s="75"/>
      <c r="R5" s="75"/>
      <c r="S5" s="112"/>
      <c r="T5" s="2"/>
      <c r="U5" s="2"/>
      <c r="V5" s="2"/>
      <c r="W5" s="2"/>
      <c r="X5" s="2"/>
    </row>
    <row r="6" spans="1:24" ht="14.25" customHeight="1">
      <c r="A6" s="83"/>
      <c r="B6" s="82"/>
      <c r="C6" s="83"/>
      <c r="D6" s="83"/>
      <c r="E6" s="83"/>
      <c r="F6" s="83"/>
      <c r="G6" s="83"/>
      <c r="H6" s="83"/>
      <c r="I6" s="83"/>
      <c r="J6" s="83"/>
      <c r="K6" s="83"/>
      <c r="L6" s="83"/>
      <c r="M6" s="113"/>
      <c r="N6" s="75"/>
      <c r="O6" s="75"/>
      <c r="P6" s="75"/>
      <c r="Q6" s="75"/>
      <c r="R6" s="75"/>
      <c r="S6" s="112"/>
      <c r="T6" s="75"/>
      <c r="U6" s="75"/>
      <c r="V6" s="75"/>
      <c r="W6" s="75"/>
      <c r="X6" s="75"/>
    </row>
    <row r="7" spans="1:24" ht="14.25" customHeight="1">
      <c r="A7" s="83"/>
      <c r="B7" s="87"/>
      <c r="C7" s="84"/>
      <c r="D7" s="83"/>
      <c r="E7" s="83"/>
      <c r="F7" s="83"/>
      <c r="G7" s="83"/>
      <c r="H7" s="83"/>
      <c r="I7" s="83"/>
      <c r="J7" s="83"/>
      <c r="K7" s="83"/>
      <c r="L7" s="83"/>
      <c r="M7" s="354" t="s">
        <v>179</v>
      </c>
      <c r="N7" s="332"/>
      <c r="O7" s="332"/>
      <c r="P7" s="332"/>
      <c r="Q7" s="332"/>
      <c r="R7" s="332"/>
      <c r="S7" s="355"/>
      <c r="T7" s="2"/>
      <c r="U7" s="2"/>
      <c r="V7" s="2"/>
      <c r="W7" s="2"/>
      <c r="X7" s="2"/>
    </row>
    <row r="8" spans="1:24" ht="14.25" customHeight="1">
      <c r="A8" s="83"/>
      <c r="B8" s="324" t="s">
        <v>830</v>
      </c>
      <c r="C8" s="325"/>
      <c r="D8" s="326"/>
      <c r="E8" s="326"/>
      <c r="F8" s="326"/>
      <c r="G8" s="326"/>
      <c r="H8" s="326"/>
      <c r="I8" s="326"/>
      <c r="J8" s="326"/>
      <c r="K8" s="326"/>
      <c r="L8" s="326"/>
      <c r="M8" s="82"/>
      <c r="N8" s="83"/>
      <c r="O8" s="83"/>
      <c r="P8" s="83"/>
      <c r="Q8" s="83"/>
      <c r="R8" s="83"/>
      <c r="S8" s="85"/>
      <c r="T8" s="2"/>
      <c r="U8" s="2"/>
      <c r="V8" s="2"/>
      <c r="W8" s="2"/>
      <c r="X8" s="2"/>
    </row>
    <row r="9" spans="1:24" ht="14.25" customHeight="1">
      <c r="A9" s="78"/>
      <c r="B9" s="327"/>
      <c r="C9" s="326"/>
      <c r="D9" s="326"/>
      <c r="E9" s="326"/>
      <c r="F9" s="326"/>
      <c r="G9" s="326"/>
      <c r="H9" s="326"/>
      <c r="I9" s="326"/>
      <c r="J9" s="326"/>
      <c r="K9" s="326"/>
      <c r="L9" s="326"/>
      <c r="M9" s="356" t="s">
        <v>831</v>
      </c>
      <c r="N9" s="357"/>
      <c r="O9" s="357"/>
      <c r="P9" s="357"/>
      <c r="Q9" s="357"/>
      <c r="R9" s="357"/>
      <c r="S9" s="358"/>
      <c r="T9" s="2"/>
      <c r="U9" s="2"/>
      <c r="V9" s="2"/>
      <c r="W9" s="2"/>
      <c r="X9" s="2"/>
    </row>
    <row r="10" spans="1:24" ht="14.25" customHeight="1">
      <c r="A10" s="79"/>
      <c r="B10" s="327"/>
      <c r="C10" s="326"/>
      <c r="D10" s="326"/>
      <c r="E10" s="326"/>
      <c r="F10" s="326"/>
      <c r="G10" s="326"/>
      <c r="H10" s="326"/>
      <c r="I10" s="326"/>
      <c r="J10" s="326"/>
      <c r="K10" s="326"/>
      <c r="L10" s="326"/>
      <c r="M10" s="359"/>
      <c r="N10" s="357"/>
      <c r="O10" s="357"/>
      <c r="P10" s="357"/>
      <c r="Q10" s="357"/>
      <c r="R10" s="357"/>
      <c r="S10" s="358"/>
      <c r="T10" s="2"/>
      <c r="U10" s="2"/>
      <c r="V10" s="2"/>
      <c r="W10" s="2"/>
      <c r="X10" s="2"/>
    </row>
    <row r="11" spans="1:24" ht="14.25" customHeight="1">
      <c r="A11" s="79"/>
      <c r="B11" s="327"/>
      <c r="C11" s="326"/>
      <c r="D11" s="326"/>
      <c r="E11" s="326"/>
      <c r="F11" s="326"/>
      <c r="G11" s="326"/>
      <c r="H11" s="326"/>
      <c r="I11" s="326"/>
      <c r="J11" s="326"/>
      <c r="K11" s="326"/>
      <c r="L11" s="326"/>
      <c r="M11" s="359"/>
      <c r="N11" s="357"/>
      <c r="O11" s="357"/>
      <c r="P11" s="357"/>
      <c r="Q11" s="357"/>
      <c r="R11" s="357"/>
      <c r="S11" s="358"/>
      <c r="T11" s="2"/>
      <c r="U11" s="2"/>
      <c r="V11" s="2"/>
      <c r="W11" s="2"/>
      <c r="X11" s="2"/>
    </row>
    <row r="12" spans="1:24" ht="14.25" customHeight="1">
      <c r="A12" s="79"/>
      <c r="B12" s="327"/>
      <c r="C12" s="326"/>
      <c r="D12" s="326"/>
      <c r="E12" s="326"/>
      <c r="F12" s="326"/>
      <c r="G12" s="326"/>
      <c r="H12" s="326"/>
      <c r="I12" s="326"/>
      <c r="J12" s="326"/>
      <c r="K12" s="326"/>
      <c r="L12" s="326"/>
      <c r="M12" s="359"/>
      <c r="N12" s="357"/>
      <c r="O12" s="357"/>
      <c r="P12" s="357"/>
      <c r="Q12" s="357"/>
      <c r="R12" s="357"/>
      <c r="S12" s="358"/>
      <c r="T12" s="2"/>
      <c r="U12" s="2"/>
      <c r="V12" s="2"/>
      <c r="W12" s="2"/>
      <c r="X12" s="2"/>
    </row>
    <row r="13" spans="1:24" ht="14.25" customHeight="1">
      <c r="A13" s="83"/>
      <c r="B13" s="327"/>
      <c r="C13" s="326"/>
      <c r="D13" s="326"/>
      <c r="E13" s="326"/>
      <c r="F13" s="326"/>
      <c r="G13" s="326"/>
      <c r="H13" s="326"/>
      <c r="I13" s="326"/>
      <c r="J13" s="326"/>
      <c r="K13" s="326"/>
      <c r="L13" s="326"/>
      <c r="M13" s="354" t="s">
        <v>835</v>
      </c>
      <c r="N13" s="332"/>
      <c r="O13" s="332"/>
      <c r="P13" s="332"/>
      <c r="Q13" s="332"/>
      <c r="R13" s="332"/>
      <c r="S13" s="355"/>
      <c r="T13" s="2"/>
      <c r="U13" s="2"/>
      <c r="V13" s="2"/>
      <c r="W13" s="2"/>
      <c r="X13" s="2"/>
    </row>
    <row r="14" spans="1:24" ht="14.25" customHeight="1">
      <c r="A14" s="83"/>
      <c r="B14" s="82"/>
      <c r="C14" s="83"/>
      <c r="D14" s="83"/>
      <c r="E14" s="83"/>
      <c r="F14" s="83"/>
      <c r="G14" s="83"/>
      <c r="H14" s="83"/>
      <c r="I14" s="83"/>
      <c r="J14" s="83"/>
      <c r="K14" s="83"/>
      <c r="L14" s="83"/>
      <c r="M14" s="82"/>
      <c r="N14" s="83"/>
      <c r="O14" s="83"/>
      <c r="P14" s="83"/>
      <c r="Q14" s="83"/>
      <c r="R14" s="83"/>
      <c r="S14" s="85"/>
      <c r="T14" s="2"/>
      <c r="U14" s="2"/>
      <c r="V14" s="2"/>
      <c r="W14" s="2"/>
      <c r="X14" s="2"/>
    </row>
    <row r="15" spans="1:24" ht="14.25" customHeight="1">
      <c r="A15" s="83"/>
      <c r="B15" s="82"/>
      <c r="C15" s="83"/>
      <c r="D15" s="83"/>
      <c r="E15" s="83"/>
      <c r="F15" s="83"/>
      <c r="G15" s="83"/>
      <c r="H15" s="83"/>
      <c r="I15" s="83"/>
      <c r="J15" s="83"/>
      <c r="K15" s="83"/>
      <c r="L15" s="83"/>
      <c r="M15" s="307"/>
      <c r="N15" s="302"/>
      <c r="O15" s="302"/>
      <c r="P15" s="302"/>
      <c r="Q15" s="302"/>
      <c r="R15" s="302"/>
      <c r="S15" s="303"/>
      <c r="T15" s="2"/>
      <c r="U15" s="2"/>
      <c r="V15" s="2"/>
      <c r="W15" s="2"/>
      <c r="X15" s="2"/>
    </row>
    <row r="16" spans="1:24" ht="14.25" customHeight="1">
      <c r="A16" s="83"/>
      <c r="B16" s="82"/>
      <c r="C16" s="83"/>
      <c r="D16" s="83"/>
      <c r="E16" s="83"/>
      <c r="F16" s="83"/>
      <c r="G16" s="83"/>
      <c r="H16" s="83"/>
      <c r="I16" s="83"/>
      <c r="J16" s="83"/>
      <c r="K16" s="83"/>
      <c r="L16" s="83"/>
      <c r="M16" s="308"/>
      <c r="N16" s="301"/>
      <c r="O16" s="301"/>
      <c r="P16" s="301"/>
      <c r="Q16" s="301"/>
      <c r="R16" s="301"/>
      <c r="S16" s="303"/>
      <c r="T16" s="2"/>
      <c r="U16" s="2"/>
      <c r="V16" s="2"/>
      <c r="W16" s="2"/>
      <c r="X16" s="2"/>
    </row>
    <row r="17" spans="1:25" ht="14.25" customHeight="1">
      <c r="A17" s="83"/>
      <c r="B17" s="82"/>
      <c r="C17" s="83"/>
      <c r="D17" s="83"/>
      <c r="E17" s="83"/>
      <c r="F17" s="83"/>
      <c r="G17" s="83"/>
      <c r="H17" s="83"/>
      <c r="I17" s="83"/>
      <c r="J17" s="83"/>
      <c r="K17" s="83"/>
      <c r="L17" s="83"/>
      <c r="M17" s="308"/>
      <c r="N17" s="301"/>
      <c r="O17" s="353" t="s">
        <v>814</v>
      </c>
      <c r="P17" s="353"/>
      <c r="Q17" s="353"/>
      <c r="R17" s="301"/>
      <c r="S17" s="303"/>
      <c r="T17" s="2"/>
      <c r="U17" s="2"/>
      <c r="V17" s="2"/>
      <c r="W17" s="2"/>
      <c r="X17" s="2"/>
    </row>
    <row r="18" spans="1:25" ht="14.25" customHeight="1">
      <c r="A18" s="83"/>
      <c r="B18" s="82"/>
      <c r="C18" s="83"/>
      <c r="D18" s="83"/>
      <c r="E18" s="83"/>
      <c r="F18" s="83"/>
      <c r="G18" s="83"/>
      <c r="H18" s="83"/>
      <c r="I18" s="83"/>
      <c r="J18" s="83"/>
      <c r="K18" s="83"/>
      <c r="L18" s="83"/>
      <c r="M18" s="308"/>
      <c r="N18" s="301"/>
      <c r="O18" s="301"/>
      <c r="P18" s="301"/>
      <c r="Q18" s="301"/>
      <c r="R18" s="301"/>
      <c r="S18" s="303"/>
      <c r="T18" s="2"/>
      <c r="U18" s="2"/>
      <c r="V18" s="2"/>
      <c r="W18" s="2"/>
      <c r="X18" s="2"/>
    </row>
    <row r="19" spans="1:25" ht="14.25" customHeight="1">
      <c r="A19" s="83"/>
      <c r="B19" s="82"/>
      <c r="C19" s="83"/>
      <c r="D19" s="329" t="str">
        <f>Translation!B7</f>
        <v xml:space="preserve">Read Me Sheet </v>
      </c>
      <c r="E19" s="330"/>
      <c r="F19" s="330"/>
      <c r="G19" s="330"/>
      <c r="H19" s="330"/>
      <c r="I19" s="330"/>
      <c r="J19" s="330"/>
      <c r="K19" s="83"/>
      <c r="L19" s="83"/>
      <c r="M19" s="308"/>
      <c r="N19" s="302"/>
      <c r="O19" s="302"/>
      <c r="P19" s="302"/>
      <c r="Q19" s="302"/>
      <c r="R19" s="302"/>
      <c r="S19" s="303"/>
      <c r="T19" s="2"/>
      <c r="U19" s="2"/>
      <c r="V19" s="2"/>
      <c r="W19" s="2"/>
      <c r="X19" s="2"/>
    </row>
    <row r="20" spans="1:25" ht="14.25" customHeight="1">
      <c r="A20" s="83"/>
      <c r="B20" s="82"/>
      <c r="C20" s="83"/>
      <c r="D20" s="83"/>
      <c r="E20" s="83"/>
      <c r="F20" s="83"/>
      <c r="G20" s="83"/>
      <c r="H20" s="83"/>
      <c r="I20" s="83"/>
      <c r="J20" s="83"/>
      <c r="K20" s="83"/>
      <c r="L20" s="83"/>
      <c r="M20" s="111"/>
      <c r="N20" s="83"/>
      <c r="O20" s="83"/>
      <c r="P20" s="83"/>
      <c r="Q20" s="83"/>
      <c r="R20" s="83"/>
      <c r="S20" s="85"/>
      <c r="T20" s="2"/>
      <c r="U20" s="2"/>
      <c r="V20" s="2"/>
      <c r="W20" s="2"/>
      <c r="X20" s="2"/>
    </row>
    <row r="21" spans="1:25" ht="14.25" customHeight="1">
      <c r="A21" s="83"/>
      <c r="B21" s="82"/>
      <c r="C21" s="83"/>
      <c r="D21" s="83"/>
      <c r="E21" s="83"/>
      <c r="F21" s="83"/>
      <c r="G21" s="83"/>
      <c r="H21" s="83"/>
      <c r="I21" s="83"/>
      <c r="J21" s="83"/>
      <c r="K21" s="83"/>
      <c r="L21" s="83"/>
      <c r="M21" s="354" t="s">
        <v>815</v>
      </c>
      <c r="N21" s="332"/>
      <c r="O21" s="332"/>
      <c r="P21" s="332"/>
      <c r="Q21" s="332"/>
      <c r="R21" s="332"/>
      <c r="S21" s="355"/>
      <c r="T21" s="75"/>
      <c r="U21" s="75"/>
      <c r="V21" s="75"/>
      <c r="W21" s="75"/>
      <c r="X21" s="75"/>
    </row>
    <row r="22" spans="1:25" ht="14.25" customHeight="1">
      <c r="A22" s="83"/>
      <c r="B22" s="82"/>
      <c r="C22" s="83"/>
      <c r="D22" s="83"/>
      <c r="E22" s="83"/>
      <c r="F22" s="83"/>
      <c r="G22" s="83"/>
      <c r="H22" s="83"/>
      <c r="I22" s="83"/>
      <c r="J22" s="83"/>
      <c r="K22" s="83"/>
      <c r="L22" s="83"/>
      <c r="M22" s="336"/>
      <c r="N22" s="337"/>
      <c r="O22" s="337"/>
      <c r="P22" s="338"/>
      <c r="Q22" s="338"/>
      <c r="R22" s="338"/>
      <c r="S22" s="339"/>
      <c r="T22" s="75"/>
      <c r="U22" s="75"/>
      <c r="V22" s="75"/>
      <c r="W22" s="75"/>
      <c r="X22" s="75"/>
    </row>
    <row r="23" spans="1:25" ht="14.25" customHeight="1">
      <c r="A23" s="83"/>
      <c r="B23" s="82"/>
      <c r="C23" s="83"/>
      <c r="D23" s="83"/>
      <c r="E23" s="83"/>
      <c r="F23" s="83"/>
      <c r="G23" s="83"/>
      <c r="H23" s="83"/>
      <c r="I23" s="83"/>
      <c r="J23" s="83"/>
      <c r="K23" s="83"/>
      <c r="L23" s="83"/>
      <c r="M23" s="336"/>
      <c r="N23" s="337"/>
      <c r="O23" s="337"/>
      <c r="P23" s="338"/>
      <c r="Q23" s="338"/>
      <c r="R23" s="338"/>
      <c r="S23" s="339"/>
      <c r="T23" s="75"/>
      <c r="U23" s="75"/>
      <c r="V23" s="75"/>
      <c r="W23" s="75"/>
      <c r="X23" s="75"/>
    </row>
    <row r="24" spans="1:25" ht="14.25" customHeight="1">
      <c r="A24" s="83"/>
      <c r="B24" s="82"/>
      <c r="C24" s="83"/>
      <c r="D24" s="83"/>
      <c r="E24" s="83"/>
      <c r="F24" s="83"/>
      <c r="G24" s="83"/>
      <c r="H24" s="83"/>
      <c r="I24" s="83"/>
      <c r="J24" s="83"/>
      <c r="K24" s="83"/>
      <c r="L24" s="83"/>
      <c r="M24" s="340" t="s">
        <v>219</v>
      </c>
      <c r="N24" s="341"/>
      <c r="O24" s="342"/>
      <c r="P24" s="346" t="s">
        <v>834</v>
      </c>
      <c r="Q24" s="347"/>
      <c r="R24" s="347"/>
      <c r="S24" s="348"/>
      <c r="T24" s="75"/>
      <c r="U24" s="75"/>
      <c r="V24" s="75"/>
      <c r="W24" s="75"/>
      <c r="X24" s="75"/>
    </row>
    <row r="25" spans="1:25" ht="14.25" customHeight="1">
      <c r="A25" s="83"/>
      <c r="B25" s="82"/>
      <c r="C25" s="83"/>
      <c r="D25" s="83"/>
      <c r="E25" s="83"/>
      <c r="F25" s="83"/>
      <c r="G25" s="83"/>
      <c r="H25" s="83"/>
      <c r="I25" s="83"/>
      <c r="J25" s="83"/>
      <c r="K25" s="83"/>
      <c r="L25" s="83"/>
      <c r="M25" s="343"/>
      <c r="N25" s="344"/>
      <c r="O25" s="345"/>
      <c r="P25" s="349"/>
      <c r="Q25" s="350"/>
      <c r="R25" s="350"/>
      <c r="S25" s="351"/>
      <c r="T25" s="75"/>
      <c r="U25" s="75"/>
      <c r="V25" s="75"/>
      <c r="W25" s="75"/>
      <c r="X25" s="75"/>
    </row>
    <row r="26" spans="1:25" ht="14.25" customHeight="1">
      <c r="A26" s="83"/>
      <c r="B26" s="82"/>
      <c r="C26" s="83"/>
      <c r="D26" s="83"/>
      <c r="E26" s="83"/>
      <c r="F26" s="83"/>
      <c r="G26" s="83"/>
      <c r="H26" s="83"/>
      <c r="I26" s="83"/>
      <c r="J26" s="83"/>
      <c r="K26" s="83"/>
      <c r="L26" s="83"/>
      <c r="M26" s="245" t="s">
        <v>820</v>
      </c>
      <c r="N26" s="282"/>
      <c r="O26" s="283"/>
      <c r="P26" s="249" t="s">
        <v>200</v>
      </c>
      <c r="Q26" s="296"/>
      <c r="R26" s="296"/>
      <c r="S26" s="297"/>
      <c r="T26" s="75"/>
      <c r="U26" s="75"/>
      <c r="V26" s="75"/>
      <c r="W26" s="75"/>
      <c r="X26" s="75"/>
    </row>
    <row r="27" spans="1:25" ht="14.25" customHeight="1">
      <c r="A27" s="83"/>
      <c r="B27" s="82"/>
      <c r="C27" s="83"/>
      <c r="D27" s="331"/>
      <c r="E27" s="332"/>
      <c r="F27" s="332"/>
      <c r="G27" s="332"/>
      <c r="H27" s="332"/>
      <c r="I27" s="332"/>
      <c r="J27" s="332"/>
      <c r="K27" s="83"/>
      <c r="L27" s="83"/>
      <c r="M27" s="285"/>
      <c r="N27" s="286"/>
      <c r="O27" s="287"/>
      <c r="P27" s="298"/>
      <c r="Q27" s="299"/>
      <c r="R27" s="299"/>
      <c r="S27" s="300"/>
      <c r="T27" s="2"/>
      <c r="U27" s="2"/>
      <c r="V27" s="2"/>
      <c r="W27" s="2"/>
      <c r="X27" s="2"/>
    </row>
    <row r="28" spans="1:25" ht="14.25" customHeight="1">
      <c r="A28" s="83"/>
      <c r="B28" s="82"/>
      <c r="C28" s="83"/>
      <c r="D28" s="333" t="s">
        <v>833</v>
      </c>
      <c r="E28" s="334"/>
      <c r="F28" s="334"/>
      <c r="G28" s="334"/>
      <c r="H28" s="334"/>
      <c r="I28" s="334"/>
      <c r="J28" s="334"/>
      <c r="K28" s="83"/>
      <c r="L28" s="83"/>
      <c r="M28" s="245" t="s">
        <v>817</v>
      </c>
      <c r="N28" s="282"/>
      <c r="O28" s="283"/>
      <c r="P28" s="250" t="s">
        <v>816</v>
      </c>
      <c r="Q28" s="288"/>
      <c r="R28" s="288"/>
      <c r="S28" s="289"/>
      <c r="T28" s="2"/>
      <c r="U28" s="2"/>
      <c r="V28" s="2"/>
      <c r="W28" s="2"/>
      <c r="X28" s="2"/>
      <c r="Y28" s="2"/>
    </row>
    <row r="29" spans="1:25" ht="14.25" customHeight="1">
      <c r="A29" s="83"/>
      <c r="B29" s="82"/>
      <c r="C29" s="83"/>
      <c r="D29" s="334"/>
      <c r="E29" s="334"/>
      <c r="F29" s="334"/>
      <c r="G29" s="334"/>
      <c r="H29" s="334"/>
      <c r="I29" s="334"/>
      <c r="J29" s="334"/>
      <c r="K29" s="83"/>
      <c r="L29" s="83"/>
      <c r="M29" s="285"/>
      <c r="N29" s="286"/>
      <c r="O29" s="287"/>
      <c r="P29" s="292"/>
      <c r="Q29" s="293"/>
      <c r="R29" s="293"/>
      <c r="S29" s="294"/>
      <c r="T29" s="2"/>
      <c r="U29" s="2"/>
      <c r="V29" s="2"/>
      <c r="W29" s="2"/>
      <c r="X29" s="2"/>
      <c r="Y29" s="2"/>
    </row>
    <row r="30" spans="1:25" ht="14.25" customHeight="1">
      <c r="A30" s="83"/>
      <c r="B30" s="82"/>
      <c r="C30" s="83"/>
      <c r="D30" s="83"/>
      <c r="E30" s="83"/>
      <c r="F30" s="88"/>
      <c r="G30" s="236" t="s">
        <v>217</v>
      </c>
      <c r="H30" s="83"/>
      <c r="I30" s="83"/>
      <c r="J30" s="83"/>
      <c r="K30" s="83"/>
      <c r="L30" s="83"/>
      <c r="M30" s="245" t="s">
        <v>818</v>
      </c>
      <c r="N30" s="282"/>
      <c r="O30" s="283"/>
      <c r="P30" s="250" t="s">
        <v>819</v>
      </c>
      <c r="Q30" s="288"/>
      <c r="R30" s="288"/>
      <c r="S30" s="289"/>
      <c r="T30" s="2"/>
      <c r="U30" s="2"/>
      <c r="V30" s="2"/>
      <c r="W30" s="2"/>
      <c r="X30" s="2"/>
      <c r="Y30" s="2"/>
    </row>
    <row r="31" spans="1:25" ht="14.25" customHeight="1">
      <c r="A31" s="83"/>
      <c r="B31" s="82"/>
      <c r="C31" s="83"/>
      <c r="D31" s="83"/>
      <c r="E31" s="83"/>
      <c r="F31" s="83"/>
      <c r="G31" s="83"/>
      <c r="H31" s="83"/>
      <c r="I31" s="83"/>
      <c r="J31" s="83"/>
      <c r="K31" s="83"/>
      <c r="L31" s="83"/>
      <c r="M31" s="248"/>
      <c r="N31" s="284"/>
      <c r="O31" s="295"/>
      <c r="P31" s="251"/>
      <c r="Q31" s="290"/>
      <c r="R31" s="290"/>
      <c r="S31" s="291"/>
      <c r="T31" s="2"/>
      <c r="U31" s="2"/>
      <c r="V31" s="2"/>
      <c r="W31" s="2"/>
      <c r="X31" s="2"/>
      <c r="Y31" s="2"/>
    </row>
    <row r="32" spans="1:25" ht="14.25" customHeight="1">
      <c r="A32" s="85"/>
      <c r="B32" s="82"/>
      <c r="C32" s="83"/>
      <c r="D32" s="335"/>
      <c r="E32" s="334"/>
      <c r="F32" s="334"/>
      <c r="G32" s="334"/>
      <c r="H32" s="334"/>
      <c r="I32" s="334"/>
      <c r="J32" s="334"/>
      <c r="K32" s="83"/>
      <c r="L32" s="83"/>
      <c r="M32" s="285"/>
      <c r="N32" s="286"/>
      <c r="O32" s="287"/>
      <c r="P32" s="292"/>
      <c r="Q32" s="293"/>
      <c r="R32" s="293"/>
      <c r="S32" s="294"/>
      <c r="T32" s="2"/>
      <c r="U32" s="2"/>
      <c r="V32" s="2"/>
      <c r="W32" s="2"/>
      <c r="X32" s="2"/>
      <c r="Y32" s="2"/>
    </row>
    <row r="33" spans="1:25" ht="14.25" customHeight="1">
      <c r="A33" s="85"/>
      <c r="B33" s="82"/>
      <c r="C33" s="83"/>
      <c r="D33" s="83"/>
      <c r="E33" s="83"/>
      <c r="F33" s="83"/>
      <c r="G33" s="83"/>
      <c r="H33" s="83"/>
      <c r="I33" s="83"/>
      <c r="K33" s="83"/>
      <c r="L33" s="83"/>
      <c r="M33" s="239" t="s">
        <v>824</v>
      </c>
      <c r="N33" s="240"/>
      <c r="O33" s="240"/>
      <c r="P33" s="242" t="s">
        <v>821</v>
      </c>
      <c r="Q33" s="243"/>
      <c r="R33" s="243"/>
      <c r="S33" s="244"/>
      <c r="T33" s="2"/>
      <c r="U33" s="2"/>
      <c r="V33" s="2"/>
      <c r="W33" s="2"/>
      <c r="X33" s="2"/>
      <c r="Y33" s="2"/>
    </row>
    <row r="34" spans="1:25" ht="14.25" customHeight="1">
      <c r="A34" s="85"/>
      <c r="B34" s="82"/>
      <c r="C34" s="83"/>
      <c r="D34" s="83"/>
      <c r="E34" s="83"/>
      <c r="F34" s="83"/>
      <c r="G34" s="83"/>
      <c r="H34" s="83"/>
      <c r="I34" s="83"/>
      <c r="J34" s="83"/>
      <c r="L34" s="83"/>
      <c r="M34" s="111"/>
      <c r="N34" s="76"/>
      <c r="O34" s="76"/>
      <c r="P34" s="241"/>
      <c r="Q34" s="96"/>
      <c r="R34" s="96"/>
      <c r="S34" s="235"/>
      <c r="T34" s="2"/>
      <c r="U34" s="2"/>
      <c r="V34" s="2"/>
      <c r="W34" s="2"/>
      <c r="X34" s="2"/>
      <c r="Y34" s="2"/>
    </row>
    <row r="35" spans="1:25" ht="14.25" customHeight="1">
      <c r="A35" s="85"/>
      <c r="B35" s="82"/>
      <c r="C35" s="83"/>
      <c r="D35" s="83"/>
      <c r="E35" s="83"/>
      <c r="F35" s="83"/>
      <c r="G35" s="86"/>
      <c r="H35" s="86"/>
      <c r="I35" s="83"/>
      <c r="J35" s="83"/>
      <c r="K35" s="83"/>
      <c r="L35" s="83"/>
      <c r="M35" s="246" t="s">
        <v>825</v>
      </c>
      <c r="N35" s="247"/>
      <c r="O35" s="247"/>
      <c r="P35" s="305" t="s">
        <v>822</v>
      </c>
      <c r="Q35" s="247"/>
      <c r="R35" s="247"/>
      <c r="S35" s="309"/>
      <c r="T35" s="2"/>
      <c r="U35" s="2"/>
      <c r="V35" s="2"/>
      <c r="W35" s="2"/>
      <c r="X35" s="2"/>
      <c r="Y35" s="2"/>
    </row>
    <row r="36" spans="1:25" ht="14.25" customHeight="1">
      <c r="A36" s="85"/>
      <c r="B36" s="82"/>
      <c r="C36" s="83"/>
      <c r="D36" s="83"/>
      <c r="E36" s="83"/>
      <c r="F36" s="352"/>
      <c r="G36" s="352"/>
      <c r="H36" s="352"/>
      <c r="I36" s="352"/>
      <c r="J36" s="83"/>
      <c r="K36" s="83"/>
      <c r="L36" s="83"/>
      <c r="M36" s="113"/>
      <c r="N36" s="75"/>
      <c r="O36" s="75"/>
      <c r="P36" s="75"/>
      <c r="Q36" s="75"/>
      <c r="R36" s="75"/>
      <c r="S36" s="112"/>
      <c r="T36" s="2"/>
      <c r="U36" s="2"/>
      <c r="V36" s="2"/>
      <c r="W36" s="2"/>
      <c r="X36" s="2"/>
      <c r="Y36" s="2"/>
    </row>
    <row r="37" spans="1:25" ht="14.25" customHeight="1">
      <c r="A37" s="83"/>
      <c r="B37" s="82"/>
      <c r="C37" s="83"/>
      <c r="D37" s="83"/>
      <c r="E37" s="83"/>
      <c r="F37" s="83" t="s">
        <v>836</v>
      </c>
      <c r="G37" s="83"/>
      <c r="H37" s="83"/>
      <c r="I37" s="83"/>
      <c r="J37" s="83"/>
      <c r="K37" s="83"/>
      <c r="L37" s="83"/>
      <c r="M37" s="113"/>
      <c r="N37" s="75"/>
      <c r="O37" s="75"/>
      <c r="P37" s="75"/>
      <c r="Q37" s="75"/>
      <c r="R37" s="75"/>
      <c r="S37" s="112"/>
      <c r="T37" s="2"/>
      <c r="U37" s="2"/>
      <c r="V37" s="2"/>
      <c r="W37" s="2"/>
      <c r="X37" s="2"/>
      <c r="Y37" s="2"/>
    </row>
    <row r="38" spans="1:25" ht="14.25" customHeight="1">
      <c r="A38" s="83"/>
      <c r="B38" s="82"/>
      <c r="C38" s="83"/>
      <c r="D38" s="83"/>
      <c r="E38" s="83"/>
      <c r="F38" s="328" t="s">
        <v>823</v>
      </c>
      <c r="G38" s="328"/>
      <c r="H38" s="328"/>
      <c r="I38" s="328"/>
      <c r="J38" s="83"/>
      <c r="K38" s="83"/>
      <c r="L38" s="83"/>
      <c r="M38" s="113"/>
      <c r="N38" s="75"/>
      <c r="O38" s="75"/>
      <c r="P38" s="75"/>
      <c r="Q38" s="75"/>
      <c r="R38" s="75"/>
      <c r="S38" s="112"/>
      <c r="T38" s="2"/>
      <c r="U38" s="2"/>
      <c r="V38" s="2"/>
      <c r="W38" s="2"/>
      <c r="X38" s="2"/>
      <c r="Y38" s="2"/>
    </row>
    <row r="39" spans="1:25" ht="14.25" customHeight="1" thickBot="1">
      <c r="A39" s="83"/>
      <c r="B39" s="89"/>
      <c r="C39" s="90"/>
      <c r="D39" s="90"/>
      <c r="E39" s="90"/>
      <c r="F39" s="90"/>
      <c r="G39" s="90"/>
      <c r="H39" s="90"/>
      <c r="I39" s="90"/>
      <c r="J39" s="90"/>
      <c r="K39" s="90"/>
      <c r="L39" s="90"/>
      <c r="M39" s="114"/>
      <c r="N39" s="115"/>
      <c r="O39" s="115"/>
      <c r="P39" s="115"/>
      <c r="Q39" s="115"/>
      <c r="R39" s="115"/>
      <c r="S39" s="116"/>
      <c r="T39" s="2"/>
      <c r="U39" s="2"/>
      <c r="V39" s="2"/>
      <c r="W39" s="2"/>
      <c r="X39" s="2"/>
      <c r="Y39" s="2"/>
    </row>
    <row r="40" spans="1:25" ht="14.25" customHeight="1">
      <c r="A40" s="83"/>
      <c r="B40" s="83"/>
      <c r="C40" s="83"/>
      <c r="D40" s="83"/>
      <c r="E40" s="83"/>
      <c r="F40" s="83"/>
      <c r="G40" s="83"/>
      <c r="H40" s="83"/>
      <c r="I40" s="83"/>
      <c r="J40" s="83"/>
      <c r="K40" s="83"/>
      <c r="L40" s="83"/>
      <c r="M40" s="2"/>
      <c r="N40" s="2"/>
      <c r="O40" s="2"/>
      <c r="P40" s="2"/>
      <c r="Q40" s="2"/>
      <c r="R40" s="2"/>
      <c r="S40" s="2"/>
      <c r="T40" s="2"/>
      <c r="U40" s="2"/>
      <c r="V40" s="2"/>
      <c r="W40" s="2"/>
      <c r="X40" s="2"/>
      <c r="Y40" s="2"/>
    </row>
    <row r="41" spans="1:25" ht="14.25" customHeight="1">
      <c r="A41" s="2"/>
      <c r="B41" s="2"/>
      <c r="C41" s="75"/>
      <c r="D41" s="2"/>
      <c r="E41" s="2"/>
      <c r="F41" s="2"/>
      <c r="G41" s="2"/>
      <c r="H41" s="2"/>
      <c r="I41" s="2"/>
      <c r="J41" s="2"/>
      <c r="K41" s="2"/>
      <c r="L41" s="2"/>
      <c r="M41" s="2"/>
      <c r="N41" s="2"/>
      <c r="O41" s="2"/>
      <c r="P41" s="2"/>
      <c r="Q41" s="2"/>
      <c r="R41" s="2"/>
      <c r="S41" s="2"/>
      <c r="T41" s="2"/>
      <c r="U41" s="2"/>
      <c r="V41" s="2"/>
      <c r="W41" s="2"/>
      <c r="X41" s="2"/>
      <c r="Y41" s="2"/>
    </row>
    <row r="42" spans="1:25" ht="14.25" customHeight="1">
      <c r="A42" s="2"/>
      <c r="B42" s="2"/>
      <c r="C42" s="75"/>
      <c r="D42" s="2"/>
      <c r="E42" s="2"/>
      <c r="F42" s="2"/>
      <c r="G42" s="2"/>
      <c r="H42" s="2"/>
      <c r="I42" s="2"/>
      <c r="J42" s="2"/>
      <c r="K42" s="2"/>
      <c r="L42" s="2"/>
      <c r="M42" s="2"/>
      <c r="N42" s="2"/>
      <c r="O42" s="2"/>
      <c r="P42" s="2"/>
      <c r="Q42" s="2"/>
      <c r="R42" s="2"/>
      <c r="S42" s="2"/>
      <c r="T42" s="2"/>
      <c r="U42" s="2"/>
      <c r="V42" s="2"/>
      <c r="W42" s="2"/>
      <c r="X42" s="2"/>
      <c r="Y42" s="2"/>
    </row>
    <row r="43" spans="1:25" ht="14.25" customHeight="1">
      <c r="A43" s="2"/>
      <c r="B43" s="2"/>
      <c r="C43" s="75"/>
      <c r="D43" s="2"/>
      <c r="E43" s="2"/>
      <c r="F43" s="2"/>
      <c r="G43" s="2"/>
      <c r="H43" s="2"/>
      <c r="I43" s="2"/>
      <c r="J43" s="2"/>
      <c r="K43" s="2"/>
      <c r="L43" s="2"/>
      <c r="M43" s="2"/>
      <c r="N43" s="2"/>
      <c r="O43" s="2"/>
      <c r="P43" s="2"/>
      <c r="Q43" s="2"/>
      <c r="R43" s="2"/>
      <c r="S43" s="2"/>
      <c r="T43" s="2"/>
      <c r="U43" s="2"/>
      <c r="V43" s="2"/>
      <c r="W43" s="2"/>
      <c r="X43" s="2"/>
      <c r="Y43" s="2"/>
    </row>
    <row r="44" spans="1:25" ht="14.25" customHeight="1">
      <c r="A44" s="2"/>
      <c r="B44" s="2"/>
      <c r="C44" s="75"/>
      <c r="D44" s="2"/>
      <c r="E44" s="2"/>
      <c r="F44" s="2"/>
      <c r="G44" s="2"/>
      <c r="H44" s="2"/>
      <c r="I44" s="2"/>
      <c r="J44" s="2"/>
      <c r="K44" s="2"/>
      <c r="L44" s="2"/>
      <c r="M44" s="2"/>
      <c r="N44" s="2"/>
      <c r="O44" s="2"/>
      <c r="P44" s="2"/>
      <c r="Q44" s="2"/>
      <c r="R44" s="2"/>
      <c r="S44" s="2"/>
      <c r="T44" s="2"/>
      <c r="U44" s="2"/>
      <c r="V44" s="2"/>
      <c r="W44" s="2"/>
      <c r="X44" s="2"/>
      <c r="Y44" s="2"/>
    </row>
    <row r="45" spans="1:25" ht="14.25" customHeight="1">
      <c r="A45" s="2"/>
      <c r="B45" s="2"/>
      <c r="C45" s="75"/>
      <c r="D45" s="2"/>
      <c r="E45" s="2"/>
      <c r="F45" s="2"/>
      <c r="G45" s="2"/>
      <c r="H45" s="2"/>
      <c r="I45" s="2"/>
      <c r="J45" s="2"/>
      <c r="K45" s="2"/>
      <c r="L45" s="2"/>
      <c r="M45" s="2"/>
      <c r="N45" s="2"/>
      <c r="O45" s="2"/>
      <c r="P45" s="2"/>
      <c r="Q45" s="2"/>
      <c r="R45" s="2"/>
      <c r="S45" s="2"/>
      <c r="T45" s="2"/>
      <c r="U45" s="2"/>
      <c r="V45" s="2"/>
      <c r="W45" s="2"/>
      <c r="X45" s="2"/>
      <c r="Y45" s="2"/>
    </row>
    <row r="46" spans="1:25" ht="14.25" customHeight="1">
      <c r="A46" s="2"/>
      <c r="B46" s="2"/>
      <c r="C46" s="75"/>
      <c r="D46" s="2"/>
      <c r="E46" s="2"/>
      <c r="F46" s="2"/>
      <c r="G46" s="2"/>
      <c r="H46" s="2"/>
      <c r="I46" s="2"/>
      <c r="J46" s="2"/>
      <c r="K46" s="2"/>
      <c r="L46" s="2"/>
      <c r="M46" s="2"/>
      <c r="N46" s="2"/>
      <c r="O46" s="2"/>
      <c r="P46" s="2"/>
      <c r="Q46" s="2"/>
      <c r="R46" s="2"/>
      <c r="S46" s="2"/>
      <c r="T46" s="2"/>
      <c r="U46" s="2"/>
      <c r="V46" s="2"/>
      <c r="W46" s="2"/>
      <c r="X46" s="2"/>
      <c r="Y46" s="2"/>
    </row>
    <row r="47" spans="1:25" ht="14.25" customHeight="1">
      <c r="A47" s="2"/>
      <c r="B47" s="2"/>
      <c r="C47" s="75"/>
      <c r="D47" s="2"/>
      <c r="E47" s="2"/>
      <c r="F47" s="2"/>
      <c r="G47" s="2"/>
      <c r="H47" s="2"/>
      <c r="I47" s="2"/>
      <c r="J47" s="2"/>
      <c r="K47" s="2"/>
      <c r="L47" s="2"/>
      <c r="M47" s="2"/>
      <c r="N47" s="2"/>
      <c r="O47" s="2"/>
      <c r="P47" s="2"/>
      <c r="Q47" s="2"/>
      <c r="R47" s="2"/>
      <c r="S47" s="2"/>
      <c r="T47" s="2"/>
      <c r="U47" s="2"/>
      <c r="V47" s="2"/>
      <c r="W47" s="2"/>
      <c r="X47" s="2"/>
      <c r="Y47" s="2"/>
    </row>
    <row r="48" spans="1:25" ht="14.25" customHeight="1">
      <c r="A48" s="2"/>
      <c r="B48" s="2"/>
      <c r="C48" s="75"/>
      <c r="D48" s="2"/>
      <c r="E48" s="2"/>
      <c r="F48" s="2"/>
      <c r="G48" s="2"/>
      <c r="H48" s="2"/>
      <c r="I48" s="2"/>
      <c r="J48" s="2"/>
      <c r="K48" s="2"/>
      <c r="L48" s="2"/>
      <c r="M48" s="2"/>
      <c r="N48" s="2"/>
      <c r="O48" s="2"/>
      <c r="P48" s="2"/>
      <c r="Q48" s="2"/>
      <c r="R48" s="2"/>
      <c r="S48" s="2"/>
      <c r="T48" s="2"/>
      <c r="U48" s="2"/>
      <c r="V48" s="2"/>
      <c r="W48" s="2"/>
      <c r="X48" s="2"/>
      <c r="Y48" s="2"/>
    </row>
    <row r="49" spans="1:25" ht="14.25" customHeight="1">
      <c r="A49" s="2"/>
      <c r="B49" s="2"/>
      <c r="C49" s="75"/>
      <c r="D49" s="2"/>
      <c r="E49" s="2"/>
      <c r="F49" s="2"/>
      <c r="G49" s="2"/>
      <c r="H49" s="2"/>
      <c r="I49" s="2"/>
      <c r="J49" s="2"/>
      <c r="K49" s="2"/>
      <c r="L49" s="2"/>
      <c r="M49" s="2"/>
      <c r="N49" s="2"/>
      <c r="O49" s="2"/>
      <c r="P49" s="2"/>
      <c r="Q49" s="2"/>
      <c r="R49" s="2"/>
      <c r="S49" s="2"/>
      <c r="T49" s="2"/>
      <c r="U49" s="2"/>
      <c r="V49" s="2"/>
      <c r="W49" s="2"/>
      <c r="X49" s="2"/>
      <c r="Y49" s="2"/>
    </row>
    <row r="50" spans="1:25" ht="14.25" customHeight="1">
      <c r="A50" s="2"/>
      <c r="B50" s="2"/>
      <c r="C50" s="75"/>
      <c r="D50" s="2"/>
      <c r="E50" s="2"/>
      <c r="F50" s="2"/>
      <c r="G50" s="2"/>
      <c r="H50" s="2"/>
      <c r="I50" s="2"/>
      <c r="J50" s="2"/>
      <c r="K50" s="2"/>
      <c r="L50" s="2"/>
      <c r="M50" s="2"/>
      <c r="N50" s="2"/>
      <c r="O50" s="2"/>
      <c r="P50" s="2"/>
      <c r="Q50" s="2"/>
      <c r="R50" s="2"/>
      <c r="S50" s="2"/>
      <c r="T50" s="2"/>
      <c r="U50" s="2"/>
      <c r="V50" s="2"/>
      <c r="W50" s="2"/>
      <c r="X50" s="2"/>
      <c r="Y50" s="2"/>
    </row>
    <row r="51" spans="1:25" ht="14.25" customHeight="1">
      <c r="A51" s="2"/>
      <c r="B51" s="2"/>
      <c r="C51" s="75"/>
      <c r="D51" s="2"/>
      <c r="E51" s="2"/>
      <c r="F51" s="2"/>
      <c r="G51" s="2"/>
      <c r="H51" s="2"/>
      <c r="I51" s="2"/>
      <c r="J51" s="2"/>
      <c r="K51" s="2"/>
      <c r="L51" s="2"/>
      <c r="M51" s="2"/>
      <c r="N51" s="2"/>
      <c r="O51" s="2"/>
      <c r="P51" s="2"/>
      <c r="Q51" s="2"/>
      <c r="R51" s="2"/>
      <c r="S51" s="2"/>
      <c r="T51" s="2"/>
      <c r="U51" s="2"/>
      <c r="V51" s="2"/>
      <c r="W51" s="2"/>
      <c r="X51" s="2"/>
      <c r="Y51" s="2"/>
    </row>
    <row r="52" spans="1:25" ht="14.25" customHeight="1">
      <c r="A52" s="2"/>
      <c r="B52" s="2"/>
      <c r="C52" s="75"/>
      <c r="D52" s="2"/>
      <c r="E52" s="2"/>
      <c r="F52" s="2"/>
      <c r="G52" s="2"/>
      <c r="H52" s="2"/>
      <c r="I52" s="2"/>
      <c r="J52" s="2"/>
      <c r="K52" s="2"/>
      <c r="L52" s="2"/>
      <c r="M52" s="2"/>
      <c r="N52" s="2"/>
      <c r="O52" s="2"/>
      <c r="P52" s="2"/>
      <c r="Q52" s="2"/>
      <c r="R52" s="2"/>
      <c r="S52" s="2"/>
      <c r="T52" s="2"/>
      <c r="U52" s="2"/>
      <c r="V52" s="2"/>
      <c r="W52" s="2"/>
      <c r="X52" s="2"/>
      <c r="Y52" s="2"/>
    </row>
    <row r="53" spans="1:25" ht="14.25" customHeight="1">
      <c r="A53" s="2"/>
      <c r="B53" s="2"/>
      <c r="C53" s="75"/>
      <c r="D53" s="2"/>
      <c r="E53" s="2"/>
      <c r="F53" s="2"/>
      <c r="G53" s="2"/>
      <c r="H53" s="2"/>
      <c r="I53" s="2"/>
      <c r="J53" s="2"/>
      <c r="K53" s="2"/>
      <c r="L53" s="2"/>
      <c r="M53" s="2"/>
      <c r="N53" s="2"/>
      <c r="O53" s="2"/>
      <c r="P53" s="2"/>
      <c r="Q53" s="2"/>
      <c r="R53" s="2"/>
      <c r="S53" s="2"/>
      <c r="T53" s="2"/>
      <c r="U53" s="2"/>
      <c r="V53" s="2"/>
      <c r="W53" s="2"/>
      <c r="X53" s="2"/>
      <c r="Y53" s="2"/>
    </row>
    <row r="54" spans="1:25" ht="14.25" customHeight="1">
      <c r="A54" s="2"/>
      <c r="B54" s="2"/>
      <c r="C54" s="75"/>
      <c r="D54" s="2"/>
      <c r="E54" s="2"/>
      <c r="F54" s="2"/>
      <c r="G54" s="2"/>
      <c r="H54" s="2"/>
      <c r="I54" s="2"/>
      <c r="J54" s="2"/>
      <c r="K54" s="2"/>
      <c r="L54" s="2"/>
      <c r="M54" s="2"/>
      <c r="N54" s="2"/>
      <c r="O54" s="2"/>
      <c r="P54" s="2"/>
      <c r="Q54" s="2"/>
      <c r="R54" s="2"/>
      <c r="S54" s="2"/>
      <c r="T54" s="2"/>
      <c r="U54" s="2"/>
      <c r="V54" s="2"/>
      <c r="W54" s="2"/>
      <c r="X54" s="2"/>
      <c r="Y54" s="2"/>
    </row>
    <row r="55" spans="1:25" ht="14.25" customHeight="1">
      <c r="A55" s="2"/>
      <c r="B55" s="2"/>
      <c r="C55" s="75"/>
      <c r="D55" s="2"/>
      <c r="E55" s="2"/>
      <c r="F55" s="2"/>
      <c r="G55" s="2"/>
      <c r="H55" s="2"/>
      <c r="I55" s="2"/>
      <c r="J55" s="2"/>
      <c r="K55" s="2"/>
      <c r="L55" s="2"/>
      <c r="M55" s="2"/>
      <c r="N55" s="2"/>
      <c r="O55" s="2"/>
      <c r="P55" s="2"/>
      <c r="Q55" s="2"/>
      <c r="R55" s="2"/>
      <c r="S55" s="2"/>
      <c r="T55" s="2"/>
      <c r="U55" s="2"/>
      <c r="V55" s="2"/>
      <c r="W55" s="2"/>
      <c r="X55" s="2"/>
      <c r="Y55" s="2"/>
    </row>
    <row r="56" spans="1:25" ht="14.25" customHeight="1">
      <c r="A56" s="2"/>
      <c r="B56" s="2"/>
      <c r="C56" s="75"/>
      <c r="D56" s="2"/>
      <c r="E56" s="2"/>
      <c r="F56" s="2"/>
      <c r="G56" s="2"/>
      <c r="H56" s="2"/>
      <c r="I56" s="2"/>
      <c r="J56" s="2"/>
      <c r="K56" s="2"/>
      <c r="L56" s="2"/>
      <c r="M56" s="2"/>
      <c r="N56" s="2"/>
      <c r="O56" s="2"/>
      <c r="P56" s="2"/>
      <c r="Q56" s="2"/>
      <c r="R56" s="2"/>
      <c r="S56" s="2"/>
      <c r="T56" s="2"/>
      <c r="U56" s="2"/>
      <c r="V56" s="2"/>
      <c r="W56" s="2"/>
      <c r="X56" s="2"/>
      <c r="Y56" s="2"/>
    </row>
    <row r="57" spans="1:25" ht="14.25" customHeight="1">
      <c r="A57" s="2"/>
      <c r="B57" s="2"/>
      <c r="C57" s="75"/>
      <c r="D57" s="2"/>
      <c r="E57" s="2"/>
      <c r="F57" s="2"/>
      <c r="G57" s="2"/>
      <c r="H57" s="2"/>
      <c r="I57" s="2"/>
      <c r="J57" s="2"/>
      <c r="K57" s="2"/>
      <c r="L57" s="2"/>
      <c r="M57" s="2"/>
      <c r="N57" s="2"/>
      <c r="O57" s="2"/>
      <c r="P57" s="2"/>
      <c r="Q57" s="2"/>
      <c r="R57" s="2"/>
      <c r="S57" s="2"/>
      <c r="T57" s="2"/>
      <c r="U57" s="2"/>
      <c r="V57" s="2"/>
      <c r="W57" s="2"/>
      <c r="X57" s="2"/>
      <c r="Y57" s="2"/>
    </row>
    <row r="58" spans="1:25" ht="14.25" customHeight="1">
      <c r="A58" s="2"/>
      <c r="B58" s="2"/>
      <c r="C58" s="75"/>
      <c r="D58" s="2"/>
      <c r="E58" s="2"/>
      <c r="F58" s="2"/>
      <c r="G58" s="2"/>
      <c r="H58" s="2"/>
      <c r="I58" s="2"/>
      <c r="J58" s="2"/>
      <c r="K58" s="2"/>
      <c r="L58" s="2"/>
      <c r="M58" s="2"/>
      <c r="N58" s="2"/>
      <c r="O58" s="2"/>
      <c r="P58" s="2"/>
      <c r="Q58" s="2"/>
      <c r="R58" s="2"/>
      <c r="S58" s="2"/>
      <c r="T58" s="2"/>
      <c r="U58" s="2"/>
      <c r="V58" s="2"/>
      <c r="W58" s="2"/>
      <c r="X58" s="2"/>
      <c r="Y58" s="2"/>
    </row>
    <row r="59" spans="1:25" ht="14.25" customHeight="1">
      <c r="A59" s="2"/>
      <c r="B59" s="2"/>
      <c r="C59" s="75"/>
      <c r="D59" s="2"/>
      <c r="E59" s="2"/>
      <c r="F59" s="2"/>
      <c r="G59" s="2"/>
      <c r="H59" s="2"/>
      <c r="I59" s="2"/>
      <c r="J59" s="2"/>
      <c r="K59" s="2"/>
      <c r="L59" s="2"/>
      <c r="M59" s="2"/>
      <c r="N59" s="2"/>
      <c r="O59" s="2"/>
      <c r="P59" s="2"/>
      <c r="Q59" s="2"/>
      <c r="R59" s="2"/>
      <c r="S59" s="2"/>
      <c r="T59" s="2"/>
      <c r="U59" s="2"/>
      <c r="V59" s="2"/>
      <c r="W59" s="2"/>
      <c r="X59" s="2"/>
      <c r="Y59" s="2"/>
    </row>
    <row r="60" spans="1:25" ht="14.25" customHeight="1">
      <c r="A60" s="2"/>
      <c r="B60" s="2"/>
      <c r="C60" s="75"/>
      <c r="D60" s="2"/>
      <c r="E60" s="2"/>
      <c r="F60" s="2"/>
      <c r="G60" s="2"/>
      <c r="H60" s="2"/>
      <c r="I60" s="2"/>
      <c r="J60" s="2"/>
      <c r="K60" s="2"/>
      <c r="L60" s="2"/>
      <c r="M60" s="2"/>
      <c r="N60" s="2"/>
      <c r="O60" s="2"/>
      <c r="P60" s="2"/>
      <c r="Q60" s="2"/>
      <c r="R60" s="2"/>
      <c r="S60" s="2"/>
      <c r="T60" s="2"/>
      <c r="U60" s="2"/>
      <c r="V60" s="2"/>
      <c r="W60" s="2"/>
      <c r="X60" s="2"/>
      <c r="Y60" s="2"/>
    </row>
    <row r="61" spans="1:25" ht="14.25" customHeight="1">
      <c r="A61" s="2"/>
      <c r="B61" s="2"/>
      <c r="C61" s="75"/>
      <c r="D61" s="2"/>
      <c r="E61" s="2"/>
      <c r="F61" s="2"/>
      <c r="G61" s="2"/>
      <c r="H61" s="2"/>
      <c r="I61" s="2"/>
      <c r="J61" s="2"/>
      <c r="K61" s="2"/>
      <c r="L61" s="2"/>
      <c r="M61" s="2"/>
      <c r="N61" s="2"/>
      <c r="O61" s="2"/>
      <c r="P61" s="2"/>
      <c r="Q61" s="2"/>
      <c r="R61" s="2"/>
      <c r="S61" s="2"/>
      <c r="T61" s="2"/>
      <c r="U61" s="2"/>
      <c r="V61" s="2"/>
      <c r="W61" s="2"/>
      <c r="X61" s="2"/>
      <c r="Y61" s="2"/>
    </row>
    <row r="62" spans="1:25" ht="14.25" customHeight="1">
      <c r="A62" s="2"/>
      <c r="B62" s="2"/>
      <c r="C62" s="75"/>
      <c r="D62" s="2"/>
      <c r="E62" s="2"/>
      <c r="F62" s="2"/>
      <c r="G62" s="2"/>
      <c r="H62" s="2"/>
      <c r="I62" s="2"/>
      <c r="J62" s="2"/>
      <c r="K62" s="2"/>
      <c r="L62" s="2"/>
      <c r="M62" s="2"/>
      <c r="N62" s="2"/>
      <c r="O62" s="2"/>
      <c r="P62" s="2"/>
      <c r="Q62" s="2"/>
      <c r="R62" s="2"/>
      <c r="S62" s="2"/>
      <c r="T62" s="2"/>
      <c r="U62" s="2"/>
      <c r="V62" s="2"/>
      <c r="W62" s="2"/>
      <c r="X62" s="2"/>
      <c r="Y62" s="2"/>
    </row>
    <row r="63" spans="1:25" ht="14.25" customHeight="1">
      <c r="A63" s="2"/>
      <c r="B63" s="2"/>
      <c r="C63" s="75"/>
      <c r="D63" s="2"/>
      <c r="E63" s="2"/>
      <c r="F63" s="2"/>
      <c r="G63" s="2"/>
      <c r="H63" s="2"/>
      <c r="I63" s="2"/>
      <c r="J63" s="2"/>
      <c r="K63" s="2"/>
      <c r="L63" s="2"/>
      <c r="M63" s="2"/>
      <c r="N63" s="2"/>
      <c r="O63" s="2"/>
      <c r="P63" s="2"/>
      <c r="Q63" s="2"/>
      <c r="R63" s="2"/>
      <c r="S63" s="2"/>
      <c r="T63" s="2"/>
      <c r="U63" s="2"/>
      <c r="V63" s="2"/>
      <c r="W63" s="2"/>
      <c r="X63" s="2"/>
      <c r="Y63" s="2"/>
    </row>
    <row r="64" spans="1:25" ht="14.25" customHeight="1">
      <c r="A64" s="2"/>
      <c r="B64" s="2"/>
      <c r="C64" s="75"/>
      <c r="D64" s="2"/>
      <c r="E64" s="2"/>
      <c r="F64" s="2"/>
      <c r="G64" s="2"/>
      <c r="H64" s="2"/>
      <c r="I64" s="2"/>
      <c r="J64" s="2"/>
      <c r="K64" s="2"/>
      <c r="L64" s="2"/>
      <c r="M64" s="2"/>
      <c r="N64" s="2"/>
      <c r="O64" s="2"/>
      <c r="P64" s="2"/>
      <c r="Q64" s="2"/>
      <c r="R64" s="2"/>
      <c r="S64" s="2"/>
      <c r="T64" s="2"/>
      <c r="U64" s="2"/>
      <c r="V64" s="2"/>
      <c r="W64" s="2"/>
      <c r="X64" s="2"/>
      <c r="Y64" s="2"/>
    </row>
    <row r="65" spans="1:25" ht="14.25" customHeight="1">
      <c r="A65" s="2"/>
      <c r="B65" s="2"/>
      <c r="C65" s="75"/>
      <c r="D65" s="2"/>
      <c r="E65" s="2"/>
      <c r="F65" s="2"/>
      <c r="G65" s="2"/>
      <c r="H65" s="2"/>
      <c r="I65" s="2"/>
      <c r="J65" s="2"/>
      <c r="K65" s="2"/>
      <c r="L65" s="2"/>
      <c r="M65" s="2"/>
      <c r="N65" s="2"/>
      <c r="O65" s="2"/>
      <c r="P65" s="2"/>
      <c r="Q65" s="2"/>
      <c r="R65" s="2"/>
      <c r="S65" s="2"/>
      <c r="T65" s="2"/>
      <c r="U65" s="2"/>
      <c r="V65" s="2"/>
      <c r="W65" s="2"/>
      <c r="X65" s="2"/>
      <c r="Y65" s="2"/>
    </row>
    <row r="66" spans="1:25" ht="14.25" customHeight="1">
      <c r="A66" s="2"/>
      <c r="B66" s="2"/>
      <c r="C66" s="75"/>
      <c r="D66" s="2"/>
      <c r="E66" s="2"/>
      <c r="F66" s="2"/>
      <c r="G66" s="2"/>
      <c r="H66" s="2"/>
      <c r="I66" s="2"/>
      <c r="J66" s="2"/>
      <c r="K66" s="2"/>
      <c r="L66" s="2"/>
      <c r="M66" s="2"/>
      <c r="N66" s="2"/>
      <c r="O66" s="2"/>
      <c r="P66" s="2"/>
      <c r="Q66" s="2"/>
      <c r="R66" s="2"/>
      <c r="S66" s="2"/>
      <c r="T66" s="2"/>
      <c r="U66" s="2"/>
      <c r="V66" s="2"/>
      <c r="W66" s="2"/>
      <c r="X66" s="2"/>
      <c r="Y66" s="2"/>
    </row>
    <row r="67" spans="1:25" ht="14.25" customHeight="1">
      <c r="A67" s="2"/>
      <c r="B67" s="2"/>
      <c r="C67" s="75"/>
      <c r="D67" s="2"/>
      <c r="E67" s="2"/>
      <c r="F67" s="2"/>
      <c r="G67" s="2"/>
      <c r="H67" s="2"/>
      <c r="I67" s="2"/>
      <c r="J67" s="2"/>
      <c r="K67" s="2"/>
      <c r="L67" s="2"/>
      <c r="M67" s="2"/>
      <c r="N67" s="2"/>
      <c r="O67" s="2"/>
      <c r="P67" s="2"/>
      <c r="Q67" s="2"/>
      <c r="R67" s="2"/>
      <c r="S67" s="2"/>
      <c r="T67" s="2"/>
      <c r="U67" s="2"/>
      <c r="V67" s="2"/>
      <c r="W67" s="2"/>
      <c r="X67" s="2"/>
      <c r="Y67" s="2"/>
    </row>
    <row r="68" spans="1:25" ht="14.25" customHeight="1">
      <c r="A68" s="2"/>
      <c r="B68" s="2"/>
      <c r="C68" s="75"/>
      <c r="D68" s="2"/>
      <c r="E68" s="2"/>
      <c r="F68" s="2"/>
      <c r="G68" s="2"/>
      <c r="H68" s="2"/>
      <c r="I68" s="2"/>
      <c r="J68" s="2"/>
      <c r="K68" s="2"/>
      <c r="L68" s="2"/>
      <c r="M68" s="2"/>
      <c r="N68" s="2"/>
      <c r="O68" s="2"/>
      <c r="P68" s="2"/>
      <c r="Q68" s="2"/>
      <c r="R68" s="2"/>
      <c r="S68" s="2"/>
      <c r="T68" s="2"/>
      <c r="U68" s="2"/>
      <c r="V68" s="2"/>
      <c r="W68" s="2"/>
      <c r="X68" s="2"/>
      <c r="Y68" s="2"/>
    </row>
    <row r="69" spans="1:25" ht="14.25" customHeight="1">
      <c r="A69" s="2"/>
      <c r="B69" s="2"/>
      <c r="C69" s="75"/>
      <c r="D69" s="2"/>
      <c r="E69" s="2"/>
      <c r="F69" s="2"/>
      <c r="G69" s="2"/>
      <c r="H69" s="2"/>
      <c r="I69" s="2"/>
      <c r="J69" s="2"/>
      <c r="K69" s="2"/>
      <c r="L69" s="2"/>
      <c r="M69" s="2"/>
      <c r="N69" s="2"/>
      <c r="O69" s="2"/>
      <c r="P69" s="2"/>
      <c r="Q69" s="2"/>
      <c r="R69" s="2"/>
      <c r="S69" s="2"/>
      <c r="T69" s="2"/>
      <c r="U69" s="2"/>
      <c r="V69" s="2"/>
      <c r="W69" s="2"/>
      <c r="X69" s="2"/>
      <c r="Y69" s="2"/>
    </row>
    <row r="70" spans="1:25" ht="14.25" customHeight="1">
      <c r="A70" s="2"/>
      <c r="B70" s="2"/>
      <c r="C70" s="75"/>
      <c r="D70" s="2"/>
      <c r="E70" s="2"/>
      <c r="F70" s="2"/>
      <c r="G70" s="2"/>
      <c r="H70" s="2"/>
      <c r="I70" s="2"/>
      <c r="J70" s="2"/>
      <c r="K70" s="2"/>
      <c r="L70" s="2"/>
      <c r="M70" s="2"/>
      <c r="N70" s="2"/>
      <c r="O70" s="2"/>
      <c r="P70" s="2"/>
      <c r="Q70" s="2"/>
      <c r="R70" s="2"/>
      <c r="S70" s="2"/>
      <c r="T70" s="2"/>
      <c r="U70" s="2"/>
      <c r="V70" s="2"/>
      <c r="W70" s="2"/>
      <c r="X70" s="2"/>
      <c r="Y70" s="2"/>
    </row>
    <row r="71" spans="1:25" ht="14.25" customHeight="1">
      <c r="A71" s="2"/>
      <c r="B71" s="2"/>
      <c r="C71" s="75"/>
      <c r="D71" s="2"/>
      <c r="E71" s="2"/>
      <c r="F71" s="2"/>
      <c r="G71" s="2"/>
      <c r="H71" s="2"/>
      <c r="I71" s="2"/>
      <c r="J71" s="2"/>
      <c r="K71" s="2"/>
      <c r="L71" s="2"/>
      <c r="M71" s="2"/>
      <c r="N71" s="2"/>
      <c r="O71" s="2"/>
      <c r="P71" s="2"/>
      <c r="Q71" s="2"/>
      <c r="R71" s="2"/>
      <c r="S71" s="2"/>
      <c r="T71" s="2"/>
      <c r="U71" s="2"/>
      <c r="V71" s="2"/>
      <c r="W71" s="2"/>
      <c r="X71" s="2"/>
      <c r="Y71" s="2"/>
    </row>
    <row r="72" spans="1:25" ht="14.25" customHeight="1">
      <c r="A72" s="2"/>
      <c r="B72" s="2"/>
      <c r="C72" s="75"/>
      <c r="D72" s="2"/>
      <c r="E72" s="2"/>
      <c r="F72" s="2"/>
      <c r="G72" s="2"/>
      <c r="H72" s="2"/>
      <c r="I72" s="2"/>
      <c r="J72" s="2"/>
      <c r="K72" s="2"/>
      <c r="L72" s="2"/>
      <c r="M72" s="2"/>
      <c r="N72" s="2"/>
      <c r="O72" s="2"/>
      <c r="P72" s="2"/>
      <c r="Q72" s="2"/>
      <c r="R72" s="2"/>
      <c r="S72" s="2"/>
      <c r="T72" s="2"/>
      <c r="U72" s="2"/>
      <c r="V72" s="2"/>
      <c r="W72" s="2"/>
      <c r="X72" s="2"/>
      <c r="Y72" s="2"/>
    </row>
    <row r="73" spans="1:25" ht="14.25" customHeight="1">
      <c r="A73" s="2"/>
      <c r="B73" s="2"/>
      <c r="C73" s="75"/>
      <c r="D73" s="2"/>
      <c r="E73" s="2"/>
      <c r="F73" s="2"/>
      <c r="G73" s="2"/>
      <c r="H73" s="2"/>
      <c r="I73" s="2"/>
      <c r="J73" s="2"/>
      <c r="K73" s="2"/>
      <c r="L73" s="2"/>
      <c r="M73" s="2"/>
      <c r="N73" s="2"/>
      <c r="O73" s="2"/>
      <c r="P73" s="2"/>
      <c r="Q73" s="2"/>
      <c r="R73" s="2"/>
      <c r="S73" s="2"/>
      <c r="T73" s="2"/>
      <c r="U73" s="2"/>
      <c r="V73" s="2"/>
      <c r="W73" s="2"/>
      <c r="X73" s="2"/>
      <c r="Y73" s="2"/>
    </row>
    <row r="74" spans="1:25" ht="14.25" customHeight="1">
      <c r="A74" s="2"/>
      <c r="B74" s="2"/>
      <c r="C74" s="75"/>
      <c r="D74" s="2"/>
      <c r="E74" s="2"/>
      <c r="F74" s="2"/>
      <c r="G74" s="2"/>
      <c r="H74" s="2"/>
      <c r="I74" s="2"/>
      <c r="J74" s="2"/>
      <c r="K74" s="2"/>
      <c r="L74" s="2"/>
      <c r="M74" s="2"/>
      <c r="N74" s="2"/>
      <c r="O74" s="2"/>
      <c r="P74" s="2"/>
      <c r="Q74" s="2"/>
      <c r="R74" s="2"/>
      <c r="S74" s="2"/>
      <c r="T74" s="2"/>
      <c r="U74" s="2"/>
      <c r="V74" s="2"/>
      <c r="W74" s="2"/>
      <c r="X74" s="2"/>
      <c r="Y74" s="2"/>
    </row>
    <row r="75" spans="1:25" ht="14.25" customHeight="1">
      <c r="A75" s="2"/>
      <c r="B75" s="2"/>
      <c r="C75" s="75"/>
      <c r="D75" s="2"/>
      <c r="E75" s="2"/>
      <c r="F75" s="2"/>
      <c r="G75" s="2"/>
      <c r="H75" s="2"/>
      <c r="I75" s="2"/>
      <c r="J75" s="2"/>
      <c r="K75" s="2"/>
      <c r="L75" s="2"/>
      <c r="M75" s="2"/>
      <c r="N75" s="2"/>
      <c r="O75" s="2"/>
      <c r="P75" s="2"/>
      <c r="Q75" s="2"/>
      <c r="R75" s="2"/>
      <c r="S75" s="2"/>
      <c r="T75" s="2"/>
      <c r="U75" s="2"/>
      <c r="V75" s="2"/>
      <c r="W75" s="2"/>
      <c r="X75" s="2"/>
      <c r="Y75" s="2"/>
    </row>
    <row r="76" spans="1:25" ht="14.25" customHeight="1">
      <c r="A76" s="2"/>
      <c r="B76" s="2"/>
      <c r="C76" s="75"/>
      <c r="D76" s="2"/>
      <c r="E76" s="2"/>
      <c r="F76" s="2"/>
      <c r="G76" s="2"/>
      <c r="H76" s="2"/>
      <c r="I76" s="2"/>
      <c r="J76" s="2"/>
      <c r="K76" s="2"/>
      <c r="L76" s="2"/>
      <c r="M76" s="2"/>
      <c r="N76" s="2"/>
      <c r="O76" s="2"/>
      <c r="P76" s="2"/>
      <c r="Q76" s="2"/>
      <c r="R76" s="2"/>
      <c r="S76" s="2"/>
      <c r="T76" s="2"/>
      <c r="U76" s="2"/>
      <c r="V76" s="2"/>
      <c r="W76" s="2"/>
      <c r="X76" s="2"/>
      <c r="Y76" s="2"/>
    </row>
    <row r="77" spans="1:25" ht="14.25" customHeight="1">
      <c r="A77" s="2"/>
      <c r="B77" s="2"/>
      <c r="C77" s="75"/>
      <c r="D77" s="2"/>
      <c r="E77" s="2"/>
      <c r="F77" s="2"/>
      <c r="G77" s="2"/>
      <c r="H77" s="2"/>
      <c r="I77" s="2"/>
      <c r="J77" s="2"/>
      <c r="K77" s="2"/>
      <c r="L77" s="2"/>
      <c r="M77" s="2"/>
      <c r="N77" s="2"/>
      <c r="O77" s="2"/>
      <c r="P77" s="2"/>
      <c r="Q77" s="2"/>
      <c r="R77" s="2"/>
      <c r="S77" s="2"/>
      <c r="T77" s="2"/>
      <c r="U77" s="2"/>
      <c r="V77" s="2"/>
      <c r="W77" s="2"/>
      <c r="X77" s="2"/>
      <c r="Y77" s="2"/>
    </row>
    <row r="78" spans="1:25" ht="14.25" customHeight="1">
      <c r="A78" s="2"/>
      <c r="B78" s="2"/>
      <c r="C78" s="75"/>
      <c r="D78" s="2"/>
      <c r="E78" s="2"/>
      <c r="F78" s="2"/>
      <c r="G78" s="2"/>
      <c r="H78" s="2"/>
      <c r="I78" s="2"/>
      <c r="J78" s="2"/>
      <c r="K78" s="2"/>
      <c r="L78" s="2"/>
      <c r="M78" s="2"/>
      <c r="N78" s="2"/>
      <c r="O78" s="2"/>
      <c r="P78" s="2"/>
      <c r="Q78" s="2"/>
      <c r="R78" s="2"/>
      <c r="S78" s="2"/>
      <c r="T78" s="2"/>
      <c r="U78" s="2"/>
      <c r="V78" s="2"/>
      <c r="W78" s="2"/>
      <c r="X78" s="2"/>
      <c r="Y78" s="2"/>
    </row>
    <row r="79" spans="1:25" ht="14.25" customHeight="1">
      <c r="A79" s="2"/>
      <c r="B79" s="2"/>
      <c r="C79" s="75"/>
      <c r="D79" s="2"/>
      <c r="E79" s="2"/>
      <c r="F79" s="2"/>
      <c r="G79" s="2"/>
      <c r="H79" s="2"/>
      <c r="I79" s="2"/>
      <c r="J79" s="2"/>
      <c r="K79" s="2"/>
      <c r="L79" s="2"/>
      <c r="M79" s="2"/>
      <c r="N79" s="2"/>
      <c r="O79" s="2"/>
      <c r="P79" s="2"/>
      <c r="Q79" s="2"/>
      <c r="R79" s="2"/>
      <c r="S79" s="2"/>
      <c r="T79" s="2"/>
      <c r="U79" s="2"/>
      <c r="V79" s="2"/>
      <c r="W79" s="2"/>
      <c r="X79" s="2"/>
      <c r="Y79" s="2"/>
    </row>
    <row r="80" spans="1:25" ht="14.25" customHeight="1">
      <c r="A80" s="2"/>
      <c r="B80" s="2"/>
      <c r="C80" s="75"/>
      <c r="D80" s="2"/>
      <c r="E80" s="2"/>
      <c r="F80" s="2"/>
      <c r="G80" s="2"/>
      <c r="H80" s="2"/>
      <c r="I80" s="2"/>
      <c r="J80" s="2"/>
      <c r="K80" s="2"/>
      <c r="L80" s="2"/>
      <c r="M80" s="2"/>
      <c r="N80" s="2"/>
      <c r="O80" s="2"/>
      <c r="P80" s="2"/>
      <c r="Q80" s="2"/>
      <c r="R80" s="2"/>
      <c r="S80" s="2"/>
      <c r="T80" s="2"/>
      <c r="U80" s="2"/>
      <c r="V80" s="2"/>
      <c r="W80" s="2"/>
      <c r="X80" s="2"/>
      <c r="Y80" s="2"/>
    </row>
    <row r="81" spans="1:25" ht="14.25" customHeight="1">
      <c r="A81" s="2"/>
      <c r="B81" s="2"/>
      <c r="C81" s="75"/>
      <c r="D81" s="2"/>
      <c r="E81" s="2"/>
      <c r="F81" s="2"/>
      <c r="G81" s="2"/>
      <c r="H81" s="2"/>
      <c r="I81" s="2"/>
      <c r="J81" s="2"/>
      <c r="K81" s="2"/>
      <c r="L81" s="2"/>
      <c r="M81" s="2"/>
      <c r="N81" s="2"/>
      <c r="O81" s="2"/>
      <c r="P81" s="2"/>
      <c r="Q81" s="2"/>
      <c r="R81" s="2"/>
      <c r="S81" s="2"/>
      <c r="T81" s="2"/>
      <c r="U81" s="2"/>
      <c r="V81" s="2"/>
      <c r="W81" s="2"/>
      <c r="X81" s="2"/>
      <c r="Y81" s="2"/>
    </row>
    <row r="82" spans="1:25" ht="14.25" customHeight="1">
      <c r="A82" s="2"/>
      <c r="B82" s="2"/>
      <c r="C82" s="75"/>
      <c r="D82" s="2"/>
      <c r="E82" s="2"/>
      <c r="F82" s="2"/>
      <c r="G82" s="2"/>
      <c r="H82" s="2"/>
      <c r="I82" s="2"/>
      <c r="J82" s="2"/>
      <c r="K82" s="2"/>
      <c r="L82" s="2"/>
      <c r="M82" s="2"/>
      <c r="N82" s="2"/>
      <c r="O82" s="2"/>
      <c r="P82" s="2"/>
      <c r="Q82" s="2"/>
      <c r="R82" s="2"/>
      <c r="S82" s="2"/>
      <c r="T82" s="2"/>
      <c r="U82" s="2"/>
      <c r="V82" s="2"/>
      <c r="W82" s="2"/>
      <c r="X82" s="2"/>
      <c r="Y82" s="2"/>
    </row>
    <row r="83" spans="1:25" ht="14.25" customHeight="1">
      <c r="A83" s="2"/>
      <c r="B83" s="2"/>
      <c r="C83" s="75"/>
      <c r="D83" s="2"/>
      <c r="E83" s="2"/>
      <c r="F83" s="2"/>
      <c r="G83" s="2"/>
      <c r="H83" s="2"/>
      <c r="I83" s="2"/>
      <c r="J83" s="2"/>
      <c r="K83" s="2"/>
      <c r="L83" s="2"/>
      <c r="M83" s="2"/>
      <c r="N83" s="2"/>
      <c r="O83" s="2"/>
      <c r="P83" s="2"/>
      <c r="Q83" s="2"/>
      <c r="R83" s="2"/>
      <c r="S83" s="2"/>
      <c r="T83" s="2"/>
      <c r="U83" s="2"/>
      <c r="V83" s="2"/>
      <c r="W83" s="2"/>
      <c r="X83" s="2"/>
      <c r="Y83" s="2"/>
    </row>
    <row r="84" spans="1:25" ht="14.25" customHeight="1">
      <c r="A84" s="2"/>
      <c r="B84" s="2"/>
      <c r="C84" s="75"/>
      <c r="D84" s="2"/>
      <c r="E84" s="2"/>
      <c r="F84" s="2"/>
      <c r="G84" s="2"/>
      <c r="H84" s="2"/>
      <c r="I84" s="2"/>
      <c r="J84" s="2"/>
      <c r="K84" s="2"/>
      <c r="L84" s="2"/>
      <c r="M84" s="2"/>
      <c r="N84" s="2"/>
      <c r="O84" s="2"/>
      <c r="P84" s="2"/>
      <c r="Q84" s="2"/>
      <c r="R84" s="2"/>
      <c r="S84" s="2"/>
      <c r="T84" s="2"/>
      <c r="U84" s="2"/>
      <c r="V84" s="2"/>
      <c r="W84" s="2"/>
      <c r="X84" s="2"/>
      <c r="Y84" s="2"/>
    </row>
    <row r="85" spans="1:25" ht="14.25" customHeight="1">
      <c r="A85" s="2"/>
      <c r="B85" s="2"/>
      <c r="C85" s="75"/>
      <c r="D85" s="2"/>
      <c r="E85" s="2"/>
      <c r="F85" s="2"/>
      <c r="G85" s="2"/>
      <c r="H85" s="2"/>
      <c r="I85" s="2"/>
      <c r="J85" s="2"/>
      <c r="K85" s="2"/>
      <c r="L85" s="2"/>
      <c r="M85" s="2"/>
      <c r="N85" s="2"/>
      <c r="O85" s="2"/>
      <c r="P85" s="2"/>
      <c r="Q85" s="2"/>
      <c r="R85" s="2"/>
      <c r="S85" s="2"/>
      <c r="T85" s="2"/>
      <c r="U85" s="2"/>
      <c r="V85" s="2"/>
      <c r="W85" s="2"/>
      <c r="X85" s="2"/>
      <c r="Y85" s="2"/>
    </row>
    <row r="86" spans="1:25" ht="14.25" customHeight="1">
      <c r="A86" s="2"/>
      <c r="B86" s="2"/>
      <c r="C86" s="75"/>
      <c r="D86" s="2"/>
      <c r="E86" s="2"/>
      <c r="F86" s="2"/>
      <c r="G86" s="2"/>
      <c r="H86" s="2"/>
      <c r="I86" s="2"/>
      <c r="J86" s="2"/>
      <c r="K86" s="2"/>
      <c r="L86" s="2"/>
      <c r="M86" s="2"/>
      <c r="N86" s="2"/>
      <c r="O86" s="2"/>
      <c r="P86" s="2"/>
      <c r="Q86" s="2"/>
      <c r="R86" s="2"/>
      <c r="S86" s="2"/>
      <c r="T86" s="2"/>
      <c r="U86" s="2"/>
      <c r="V86" s="2"/>
      <c r="W86" s="2"/>
      <c r="X86" s="2"/>
      <c r="Y86" s="2"/>
    </row>
    <row r="87" spans="1:25" ht="14.25" customHeight="1">
      <c r="A87" s="2"/>
      <c r="B87" s="2"/>
      <c r="C87" s="75"/>
      <c r="D87" s="2"/>
      <c r="E87" s="2"/>
      <c r="F87" s="2"/>
      <c r="G87" s="2"/>
      <c r="H87" s="2"/>
      <c r="I87" s="2"/>
      <c r="J87" s="2"/>
      <c r="K87" s="2"/>
      <c r="L87" s="2"/>
      <c r="M87" s="2"/>
      <c r="N87" s="2"/>
      <c r="O87" s="2"/>
      <c r="P87" s="2"/>
      <c r="Q87" s="2"/>
      <c r="R87" s="2"/>
      <c r="S87" s="2"/>
      <c r="T87" s="2"/>
      <c r="U87" s="2"/>
      <c r="V87" s="2"/>
      <c r="W87" s="2"/>
      <c r="X87" s="2"/>
      <c r="Y87" s="2"/>
    </row>
    <row r="88" spans="1:25" ht="14.25" customHeight="1">
      <c r="A88" s="2"/>
      <c r="B88" s="2"/>
      <c r="C88" s="75"/>
      <c r="D88" s="2"/>
      <c r="E88" s="2"/>
      <c r="F88" s="2"/>
      <c r="G88" s="2"/>
      <c r="H88" s="2"/>
      <c r="I88" s="2"/>
      <c r="J88" s="2"/>
      <c r="K88" s="2"/>
      <c r="L88" s="2"/>
      <c r="M88" s="2"/>
      <c r="N88" s="2"/>
      <c r="O88" s="2"/>
      <c r="P88" s="2"/>
      <c r="Q88" s="2"/>
      <c r="R88" s="2"/>
      <c r="S88" s="2"/>
      <c r="T88" s="2"/>
      <c r="U88" s="2"/>
      <c r="V88" s="2"/>
      <c r="W88" s="2"/>
      <c r="X88" s="2"/>
      <c r="Y88" s="2"/>
    </row>
    <row r="89" spans="1:25" ht="14.25" customHeight="1">
      <c r="A89" s="2"/>
      <c r="B89" s="2"/>
      <c r="C89" s="75"/>
      <c r="D89" s="2"/>
      <c r="E89" s="2"/>
      <c r="F89" s="2"/>
      <c r="G89" s="2"/>
      <c r="H89" s="2"/>
      <c r="I89" s="2"/>
      <c r="J89" s="2"/>
      <c r="K89" s="2"/>
      <c r="L89" s="2"/>
      <c r="M89" s="2"/>
      <c r="N89" s="2"/>
      <c r="O89" s="2"/>
      <c r="P89" s="2"/>
      <c r="Q89" s="2"/>
      <c r="R89" s="2"/>
      <c r="S89" s="2"/>
      <c r="T89" s="2"/>
      <c r="U89" s="2"/>
      <c r="V89" s="2"/>
      <c r="W89" s="2"/>
      <c r="X89" s="2"/>
      <c r="Y89" s="2"/>
    </row>
    <row r="90" spans="1:25" ht="14.25" customHeight="1">
      <c r="A90" s="2"/>
      <c r="B90" s="2"/>
      <c r="C90" s="75"/>
      <c r="D90" s="2"/>
      <c r="E90" s="2"/>
      <c r="F90" s="2"/>
      <c r="G90" s="2"/>
      <c r="H90" s="2"/>
      <c r="I90" s="2"/>
      <c r="J90" s="2"/>
      <c r="K90" s="2"/>
      <c r="L90" s="2"/>
      <c r="M90" s="2"/>
      <c r="N90" s="2"/>
      <c r="O90" s="2"/>
      <c r="P90" s="2"/>
      <c r="Q90" s="2"/>
      <c r="R90" s="2"/>
      <c r="S90" s="2"/>
      <c r="T90" s="2"/>
      <c r="U90" s="2"/>
      <c r="V90" s="2"/>
      <c r="W90" s="2"/>
      <c r="X90" s="2"/>
      <c r="Y90" s="2"/>
    </row>
    <row r="91" spans="1:25" ht="14.25" customHeight="1">
      <c r="A91" s="2"/>
      <c r="B91" s="2"/>
      <c r="C91" s="75"/>
      <c r="D91" s="2"/>
      <c r="E91" s="2"/>
      <c r="F91" s="2"/>
      <c r="G91" s="2"/>
      <c r="H91" s="2"/>
      <c r="I91" s="2"/>
      <c r="J91" s="2"/>
      <c r="K91" s="2"/>
      <c r="L91" s="2"/>
      <c r="M91" s="2"/>
      <c r="N91" s="2"/>
      <c r="O91" s="2"/>
      <c r="P91" s="2"/>
      <c r="Q91" s="2"/>
      <c r="R91" s="2"/>
      <c r="S91" s="2"/>
      <c r="T91" s="2"/>
      <c r="U91" s="2"/>
      <c r="V91" s="2"/>
      <c r="W91" s="2"/>
      <c r="X91" s="2"/>
      <c r="Y91" s="2"/>
    </row>
    <row r="92" spans="1:25" ht="14.25" customHeight="1">
      <c r="A92" s="2"/>
      <c r="B92" s="2"/>
      <c r="C92" s="75"/>
      <c r="D92" s="2"/>
      <c r="E92" s="2"/>
      <c r="F92" s="2"/>
      <c r="G92" s="2"/>
      <c r="H92" s="2"/>
      <c r="I92" s="2"/>
      <c r="J92" s="2"/>
      <c r="K92" s="2"/>
      <c r="L92" s="2"/>
      <c r="M92" s="2"/>
      <c r="N92" s="2"/>
      <c r="O92" s="2"/>
      <c r="P92" s="2"/>
      <c r="Q92" s="2"/>
      <c r="R92" s="2"/>
      <c r="S92" s="2"/>
      <c r="T92" s="2"/>
      <c r="U92" s="2"/>
      <c r="V92" s="2"/>
      <c r="W92" s="2"/>
      <c r="X92" s="2"/>
      <c r="Y92" s="2"/>
    </row>
    <row r="93" spans="1:25" ht="14.25" customHeight="1">
      <c r="A93" s="2"/>
      <c r="B93" s="2"/>
      <c r="C93" s="75"/>
      <c r="D93" s="2"/>
      <c r="E93" s="2"/>
      <c r="F93" s="2"/>
      <c r="G93" s="2"/>
      <c r="H93" s="2"/>
      <c r="I93" s="2"/>
      <c r="J93" s="2"/>
      <c r="K93" s="2"/>
      <c r="L93" s="2"/>
      <c r="M93" s="2"/>
      <c r="N93" s="2"/>
      <c r="O93" s="2"/>
      <c r="P93" s="2"/>
      <c r="Q93" s="2"/>
      <c r="R93" s="2"/>
      <c r="S93" s="2"/>
      <c r="T93" s="2"/>
      <c r="U93" s="2"/>
      <c r="V93" s="2"/>
      <c r="W93" s="2"/>
      <c r="X93" s="2"/>
      <c r="Y93" s="2"/>
    </row>
    <row r="94" spans="1:25" ht="14.25" customHeight="1">
      <c r="A94" s="2"/>
      <c r="B94" s="2"/>
      <c r="C94" s="75"/>
      <c r="D94" s="2"/>
      <c r="E94" s="2"/>
      <c r="F94" s="2"/>
      <c r="G94" s="2"/>
      <c r="H94" s="2"/>
      <c r="I94" s="2"/>
      <c r="J94" s="2"/>
      <c r="K94" s="2"/>
      <c r="L94" s="2"/>
      <c r="M94" s="2"/>
      <c r="N94" s="2"/>
      <c r="O94" s="2"/>
      <c r="P94" s="2"/>
      <c r="Q94" s="2"/>
      <c r="R94" s="2"/>
      <c r="S94" s="2"/>
      <c r="T94" s="2"/>
      <c r="U94" s="2"/>
      <c r="V94" s="2"/>
      <c r="W94" s="2"/>
      <c r="X94" s="2"/>
      <c r="Y94" s="2"/>
    </row>
    <row r="95" spans="1:25" ht="14.25" customHeight="1">
      <c r="A95" s="2"/>
      <c r="B95" s="2"/>
      <c r="C95" s="75"/>
      <c r="D95" s="2"/>
      <c r="E95" s="2"/>
      <c r="F95" s="2"/>
      <c r="G95" s="2"/>
      <c r="H95" s="2"/>
      <c r="I95" s="2"/>
      <c r="J95" s="2"/>
      <c r="K95" s="2"/>
      <c r="L95" s="2"/>
      <c r="M95" s="2"/>
      <c r="N95" s="2"/>
      <c r="O95" s="2"/>
      <c r="P95" s="2"/>
      <c r="Q95" s="2"/>
      <c r="R95" s="2"/>
      <c r="S95" s="2"/>
      <c r="T95" s="2"/>
      <c r="U95" s="2"/>
      <c r="V95" s="2"/>
      <c r="W95" s="2"/>
      <c r="X95" s="2"/>
      <c r="Y95" s="2"/>
    </row>
    <row r="96" spans="1:25" ht="14.25" customHeight="1">
      <c r="A96" s="2"/>
      <c r="B96" s="2"/>
      <c r="C96" s="75"/>
      <c r="D96" s="2"/>
      <c r="E96" s="2"/>
      <c r="F96" s="2"/>
      <c r="G96" s="2"/>
      <c r="H96" s="2"/>
      <c r="I96" s="2"/>
      <c r="J96" s="2"/>
      <c r="K96" s="2"/>
      <c r="L96" s="2"/>
      <c r="M96" s="2"/>
      <c r="N96" s="2"/>
      <c r="O96" s="2"/>
      <c r="P96" s="2"/>
      <c r="Q96" s="2"/>
      <c r="R96" s="2"/>
      <c r="S96" s="2"/>
      <c r="T96" s="2"/>
      <c r="U96" s="2"/>
      <c r="V96" s="2"/>
      <c r="W96" s="2"/>
      <c r="X96" s="2"/>
      <c r="Y96" s="2"/>
    </row>
    <row r="97" spans="1:25" ht="14.25" customHeight="1">
      <c r="A97" s="2"/>
      <c r="B97" s="2"/>
      <c r="C97" s="75"/>
      <c r="D97" s="2"/>
      <c r="E97" s="2"/>
      <c r="F97" s="2"/>
      <c r="G97" s="2"/>
      <c r="H97" s="2"/>
      <c r="I97" s="2"/>
      <c r="J97" s="2"/>
      <c r="K97" s="2"/>
      <c r="L97" s="2"/>
      <c r="M97" s="2"/>
      <c r="N97" s="2"/>
      <c r="O97" s="2"/>
      <c r="P97" s="2"/>
      <c r="Q97" s="2"/>
      <c r="R97" s="2"/>
      <c r="S97" s="2"/>
      <c r="T97" s="2"/>
      <c r="U97" s="2"/>
      <c r="V97" s="2"/>
      <c r="W97" s="2"/>
      <c r="X97" s="2"/>
      <c r="Y97" s="2"/>
    </row>
    <row r="98" spans="1:25" ht="14.25" customHeight="1">
      <c r="A98" s="2"/>
      <c r="B98" s="2"/>
      <c r="C98" s="75"/>
      <c r="D98" s="2"/>
      <c r="E98" s="2"/>
      <c r="F98" s="2"/>
      <c r="G98" s="2"/>
      <c r="H98" s="2"/>
      <c r="I98" s="2"/>
      <c r="J98" s="2"/>
      <c r="K98" s="2"/>
      <c r="L98" s="2"/>
      <c r="M98" s="2"/>
      <c r="N98" s="2"/>
      <c r="O98" s="2"/>
      <c r="P98" s="2"/>
      <c r="Q98" s="2"/>
      <c r="R98" s="2"/>
      <c r="S98" s="2"/>
      <c r="T98" s="2"/>
      <c r="U98" s="2"/>
      <c r="V98" s="2"/>
      <c r="W98" s="2"/>
      <c r="X98" s="2"/>
      <c r="Y98" s="2"/>
    </row>
    <row r="99" spans="1:25" ht="14.25" customHeight="1">
      <c r="A99" s="2"/>
      <c r="B99" s="2"/>
      <c r="C99" s="75"/>
      <c r="D99" s="2"/>
      <c r="E99" s="2"/>
      <c r="F99" s="2"/>
      <c r="G99" s="2"/>
      <c r="H99" s="2"/>
      <c r="I99" s="2"/>
      <c r="J99" s="2"/>
      <c r="K99" s="2"/>
      <c r="L99" s="2"/>
      <c r="M99" s="2"/>
      <c r="N99" s="2"/>
      <c r="O99" s="2"/>
      <c r="P99" s="2"/>
      <c r="Q99" s="2"/>
      <c r="R99" s="2"/>
      <c r="S99" s="2"/>
      <c r="T99" s="2"/>
      <c r="U99" s="2"/>
      <c r="V99" s="2"/>
      <c r="W99" s="2"/>
      <c r="X99" s="2"/>
      <c r="Y99" s="2"/>
    </row>
    <row r="100" spans="1:25" ht="14.25" customHeight="1">
      <c r="A100" s="2"/>
      <c r="B100" s="2"/>
      <c r="C100" s="75"/>
      <c r="D100" s="2"/>
      <c r="E100" s="2"/>
      <c r="F100" s="2"/>
      <c r="G100" s="2"/>
      <c r="H100" s="2"/>
      <c r="I100" s="2"/>
      <c r="J100" s="2"/>
      <c r="K100" s="2"/>
      <c r="L100" s="2"/>
      <c r="M100" s="2"/>
      <c r="N100" s="2"/>
      <c r="O100" s="2"/>
      <c r="P100" s="2"/>
      <c r="Q100" s="2"/>
      <c r="R100" s="2"/>
      <c r="S100" s="2"/>
      <c r="T100" s="2"/>
      <c r="U100" s="2"/>
      <c r="V100" s="2"/>
      <c r="W100" s="2"/>
      <c r="X100" s="2"/>
      <c r="Y100" s="2"/>
    </row>
    <row r="101" spans="1:25" ht="14.25" customHeight="1">
      <c r="A101" s="2"/>
      <c r="B101" s="2"/>
      <c r="C101" s="75"/>
      <c r="D101" s="2"/>
      <c r="E101" s="2"/>
      <c r="F101" s="2"/>
      <c r="G101" s="2"/>
      <c r="H101" s="2"/>
      <c r="I101" s="2"/>
      <c r="J101" s="2"/>
      <c r="K101" s="2"/>
      <c r="L101" s="2"/>
      <c r="M101" s="2"/>
      <c r="N101" s="2"/>
      <c r="O101" s="2"/>
      <c r="P101" s="2"/>
      <c r="Q101" s="2"/>
      <c r="R101" s="2"/>
      <c r="S101" s="2"/>
      <c r="T101" s="2"/>
      <c r="U101" s="2"/>
      <c r="V101" s="2"/>
      <c r="W101" s="2"/>
      <c r="X101" s="2"/>
      <c r="Y101" s="2"/>
    </row>
    <row r="102" spans="1:25" ht="14.25" customHeight="1">
      <c r="A102" s="2"/>
      <c r="B102" s="2"/>
      <c r="C102" s="75"/>
      <c r="D102" s="2"/>
      <c r="E102" s="2"/>
      <c r="F102" s="2"/>
      <c r="G102" s="2"/>
      <c r="H102" s="2"/>
      <c r="I102" s="2"/>
      <c r="J102" s="2"/>
      <c r="K102" s="2"/>
      <c r="L102" s="2"/>
      <c r="M102" s="2"/>
      <c r="N102" s="2"/>
      <c r="O102" s="2"/>
      <c r="P102" s="2"/>
      <c r="Q102" s="2"/>
      <c r="R102" s="2"/>
      <c r="S102" s="2"/>
      <c r="T102" s="2"/>
      <c r="U102" s="2"/>
      <c r="V102" s="2"/>
      <c r="W102" s="2"/>
      <c r="X102" s="2"/>
      <c r="Y102" s="2"/>
    </row>
    <row r="103" spans="1:25" ht="14.25" customHeight="1">
      <c r="A103" s="2"/>
      <c r="B103" s="2"/>
      <c r="C103" s="75"/>
      <c r="D103" s="2"/>
      <c r="E103" s="2"/>
      <c r="F103" s="2"/>
      <c r="G103" s="2"/>
      <c r="H103" s="2"/>
      <c r="I103" s="2"/>
      <c r="J103" s="2"/>
      <c r="K103" s="2"/>
      <c r="L103" s="2"/>
      <c r="M103" s="2"/>
      <c r="N103" s="2"/>
      <c r="O103" s="2"/>
      <c r="P103" s="2"/>
      <c r="Q103" s="2"/>
      <c r="R103" s="2"/>
      <c r="S103" s="2"/>
      <c r="T103" s="2"/>
      <c r="U103" s="2"/>
      <c r="V103" s="2"/>
      <c r="W103" s="2"/>
      <c r="X103" s="2"/>
      <c r="Y103" s="2"/>
    </row>
    <row r="104" spans="1:25" ht="14.25" customHeight="1">
      <c r="A104" s="2"/>
      <c r="B104" s="2"/>
      <c r="C104" s="75"/>
      <c r="D104" s="2"/>
      <c r="E104" s="2"/>
      <c r="F104" s="2"/>
      <c r="G104" s="2"/>
      <c r="H104" s="2"/>
      <c r="I104" s="2"/>
      <c r="J104" s="2"/>
      <c r="K104" s="2"/>
      <c r="L104" s="2"/>
      <c r="M104" s="2"/>
      <c r="N104" s="2"/>
      <c r="O104" s="2"/>
      <c r="P104" s="2"/>
      <c r="Q104" s="2"/>
      <c r="R104" s="2"/>
      <c r="S104" s="2"/>
      <c r="T104" s="2"/>
      <c r="U104" s="2"/>
      <c r="V104" s="2"/>
      <c r="W104" s="2"/>
      <c r="X104" s="2"/>
      <c r="Y104" s="2"/>
    </row>
    <row r="105" spans="1:25" ht="14.25" customHeight="1">
      <c r="A105" s="2"/>
      <c r="B105" s="2"/>
      <c r="C105" s="75"/>
      <c r="D105" s="2"/>
      <c r="E105" s="2"/>
      <c r="F105" s="2"/>
      <c r="G105" s="2"/>
      <c r="H105" s="2"/>
      <c r="I105" s="2"/>
      <c r="J105" s="2"/>
      <c r="K105" s="2"/>
      <c r="L105" s="2"/>
      <c r="M105" s="2"/>
      <c r="N105" s="2"/>
      <c r="O105" s="2"/>
      <c r="P105" s="2"/>
      <c r="Q105" s="2"/>
      <c r="R105" s="2"/>
      <c r="S105" s="2"/>
      <c r="T105" s="2"/>
      <c r="U105" s="2"/>
      <c r="V105" s="2"/>
      <c r="W105" s="2"/>
      <c r="X105" s="2"/>
      <c r="Y105" s="2"/>
    </row>
    <row r="106" spans="1:25" ht="14.25" customHeight="1">
      <c r="A106" s="2"/>
      <c r="B106" s="2"/>
      <c r="C106" s="75"/>
      <c r="D106" s="2"/>
      <c r="E106" s="2"/>
      <c r="F106" s="2"/>
      <c r="G106" s="2"/>
      <c r="H106" s="2"/>
      <c r="I106" s="2"/>
      <c r="J106" s="2"/>
      <c r="K106" s="2"/>
      <c r="L106" s="2"/>
      <c r="M106" s="2"/>
      <c r="N106" s="2"/>
      <c r="O106" s="2"/>
      <c r="P106" s="2"/>
      <c r="Q106" s="2"/>
      <c r="R106" s="2"/>
      <c r="S106" s="2"/>
      <c r="T106" s="2"/>
      <c r="U106" s="2"/>
      <c r="V106" s="2"/>
      <c r="W106" s="2"/>
      <c r="X106" s="2"/>
      <c r="Y106" s="2"/>
    </row>
    <row r="107" spans="1:25" ht="14.25" customHeight="1">
      <c r="A107" s="2"/>
      <c r="B107" s="2"/>
      <c r="C107" s="75"/>
      <c r="D107" s="2"/>
      <c r="E107" s="2"/>
      <c r="F107" s="2"/>
      <c r="G107" s="2"/>
      <c r="H107" s="2"/>
      <c r="I107" s="2"/>
      <c r="J107" s="2"/>
      <c r="K107" s="2"/>
      <c r="L107" s="2"/>
      <c r="M107" s="2"/>
      <c r="N107" s="2"/>
      <c r="O107" s="2"/>
      <c r="P107" s="2"/>
      <c r="Q107" s="2"/>
      <c r="R107" s="2"/>
      <c r="S107" s="2"/>
      <c r="T107" s="2"/>
      <c r="U107" s="2"/>
      <c r="V107" s="2"/>
      <c r="W107" s="2"/>
      <c r="X107" s="2"/>
      <c r="Y107" s="2"/>
    </row>
    <row r="108" spans="1:25" ht="14.25" customHeight="1">
      <c r="A108" s="2"/>
      <c r="B108" s="2"/>
      <c r="C108" s="75"/>
      <c r="D108" s="2"/>
      <c r="E108" s="2"/>
      <c r="F108" s="2"/>
      <c r="G108" s="2"/>
      <c r="H108" s="2"/>
      <c r="I108" s="2"/>
      <c r="J108" s="2"/>
      <c r="K108" s="2"/>
      <c r="L108" s="2"/>
      <c r="M108" s="2"/>
      <c r="N108" s="2"/>
      <c r="O108" s="2"/>
      <c r="P108" s="2"/>
      <c r="Q108" s="2"/>
      <c r="R108" s="2"/>
      <c r="S108" s="2"/>
      <c r="T108" s="2"/>
      <c r="U108" s="2"/>
      <c r="V108" s="2"/>
      <c r="W108" s="2"/>
      <c r="X108" s="2"/>
      <c r="Y108" s="2"/>
    </row>
    <row r="109" spans="1:25" ht="14.25" customHeight="1">
      <c r="A109" s="2"/>
      <c r="B109" s="2"/>
      <c r="C109" s="75"/>
      <c r="D109" s="2"/>
      <c r="E109" s="2"/>
      <c r="F109" s="2"/>
      <c r="G109" s="2"/>
      <c r="H109" s="2"/>
      <c r="I109" s="2"/>
      <c r="J109" s="2"/>
      <c r="K109" s="2"/>
      <c r="L109" s="2"/>
      <c r="M109" s="2"/>
      <c r="N109" s="2"/>
      <c r="O109" s="2"/>
      <c r="P109" s="2"/>
      <c r="Q109" s="2"/>
      <c r="R109" s="2"/>
      <c r="S109" s="2"/>
      <c r="T109" s="2"/>
      <c r="U109" s="2"/>
      <c r="V109" s="2"/>
      <c r="W109" s="2"/>
      <c r="X109" s="2"/>
      <c r="Y109" s="2"/>
    </row>
    <row r="110" spans="1:25" ht="14.25" customHeight="1">
      <c r="A110" s="2"/>
      <c r="B110" s="2"/>
      <c r="C110" s="75"/>
      <c r="D110" s="2"/>
      <c r="E110" s="2"/>
      <c r="F110" s="2"/>
      <c r="G110" s="2"/>
      <c r="H110" s="2"/>
      <c r="I110" s="2"/>
      <c r="J110" s="2"/>
      <c r="K110" s="2"/>
      <c r="L110" s="2"/>
      <c r="M110" s="2"/>
      <c r="N110" s="2"/>
      <c r="O110" s="2"/>
      <c r="P110" s="2"/>
      <c r="Q110" s="2"/>
      <c r="R110" s="2"/>
      <c r="S110" s="2"/>
      <c r="T110" s="2"/>
      <c r="U110" s="2"/>
      <c r="V110" s="2"/>
      <c r="W110" s="2"/>
      <c r="X110" s="2"/>
      <c r="Y110" s="2"/>
    </row>
    <row r="111" spans="1:25" ht="14.25" customHeight="1">
      <c r="A111" s="2"/>
      <c r="B111" s="2"/>
      <c r="C111" s="75"/>
      <c r="D111" s="2"/>
      <c r="E111" s="2"/>
      <c r="F111" s="2"/>
      <c r="G111" s="2"/>
      <c r="H111" s="2"/>
      <c r="I111" s="2"/>
      <c r="J111" s="2"/>
      <c r="K111" s="2"/>
      <c r="L111" s="2"/>
      <c r="M111" s="2"/>
      <c r="N111" s="2"/>
      <c r="O111" s="2"/>
      <c r="P111" s="2"/>
      <c r="Q111" s="2"/>
      <c r="R111" s="2"/>
      <c r="S111" s="2"/>
      <c r="T111" s="2"/>
      <c r="U111" s="2"/>
      <c r="V111" s="2"/>
      <c r="W111" s="2"/>
      <c r="X111" s="2"/>
      <c r="Y111" s="2"/>
    </row>
    <row r="112" spans="1:25" ht="14.25" customHeight="1">
      <c r="A112" s="2"/>
      <c r="B112" s="2"/>
      <c r="C112" s="75"/>
      <c r="D112" s="2"/>
      <c r="E112" s="2"/>
      <c r="F112" s="2"/>
      <c r="G112" s="2"/>
      <c r="H112" s="2"/>
      <c r="I112" s="2"/>
      <c r="J112" s="2"/>
      <c r="K112" s="2"/>
      <c r="L112" s="2"/>
      <c r="M112" s="2"/>
      <c r="N112" s="2"/>
      <c r="O112" s="2"/>
      <c r="P112" s="2"/>
      <c r="Q112" s="2"/>
      <c r="R112" s="2"/>
      <c r="S112" s="2"/>
      <c r="T112" s="2"/>
      <c r="U112" s="2"/>
      <c r="V112" s="2"/>
      <c r="W112" s="2"/>
      <c r="X112" s="2"/>
      <c r="Y112" s="2"/>
    </row>
    <row r="113" spans="1:25" ht="14.25" customHeight="1">
      <c r="A113" s="2"/>
      <c r="B113" s="2"/>
      <c r="C113" s="75"/>
      <c r="D113" s="2"/>
      <c r="E113" s="2"/>
      <c r="F113" s="2"/>
      <c r="G113" s="2"/>
      <c r="H113" s="2"/>
      <c r="I113" s="2"/>
      <c r="J113" s="2"/>
      <c r="K113" s="2"/>
      <c r="L113" s="2"/>
      <c r="M113" s="2"/>
      <c r="N113" s="2"/>
      <c r="O113" s="2"/>
      <c r="P113" s="2"/>
      <c r="Q113" s="2"/>
      <c r="R113" s="2"/>
      <c r="S113" s="2"/>
      <c r="T113" s="2"/>
      <c r="U113" s="2"/>
      <c r="V113" s="2"/>
      <c r="W113" s="2"/>
      <c r="X113" s="2"/>
      <c r="Y113" s="2"/>
    </row>
    <row r="114" spans="1:25" ht="14.25" customHeight="1">
      <c r="A114" s="2"/>
      <c r="B114" s="2"/>
      <c r="C114" s="75"/>
      <c r="D114" s="2"/>
      <c r="E114" s="2"/>
      <c r="F114" s="2"/>
      <c r="G114" s="2"/>
      <c r="H114" s="2"/>
      <c r="I114" s="2"/>
      <c r="J114" s="2"/>
      <c r="K114" s="2"/>
      <c r="L114" s="2"/>
      <c r="M114" s="2"/>
      <c r="N114" s="2"/>
      <c r="O114" s="2"/>
      <c r="P114" s="2"/>
      <c r="Q114" s="2"/>
      <c r="R114" s="2"/>
      <c r="S114" s="2"/>
      <c r="T114" s="2"/>
      <c r="U114" s="2"/>
      <c r="V114" s="2"/>
      <c r="W114" s="2"/>
      <c r="X114" s="2"/>
      <c r="Y114" s="2"/>
    </row>
    <row r="115" spans="1:25" ht="14.25" customHeight="1">
      <c r="A115" s="2"/>
      <c r="B115" s="2"/>
      <c r="C115" s="75"/>
      <c r="D115" s="2"/>
      <c r="E115" s="2"/>
      <c r="F115" s="2"/>
      <c r="G115" s="2"/>
      <c r="H115" s="2"/>
      <c r="I115" s="2"/>
      <c r="J115" s="2"/>
      <c r="K115" s="2"/>
      <c r="L115" s="2"/>
      <c r="M115" s="2"/>
      <c r="N115" s="2"/>
      <c r="O115" s="2"/>
      <c r="P115" s="2"/>
      <c r="Q115" s="2"/>
      <c r="R115" s="2"/>
      <c r="S115" s="2"/>
      <c r="T115" s="2"/>
      <c r="U115" s="2"/>
      <c r="V115" s="2"/>
      <c r="W115" s="2"/>
      <c r="X115" s="2"/>
      <c r="Y115" s="2"/>
    </row>
    <row r="116" spans="1:25" ht="14.25" customHeight="1">
      <c r="A116" s="2"/>
      <c r="B116" s="2"/>
      <c r="C116" s="75"/>
      <c r="D116" s="2"/>
      <c r="E116" s="2"/>
      <c r="F116" s="2"/>
      <c r="G116" s="2"/>
      <c r="H116" s="2"/>
      <c r="I116" s="2"/>
      <c r="J116" s="2"/>
      <c r="K116" s="2"/>
      <c r="L116" s="2"/>
      <c r="M116" s="2"/>
      <c r="N116" s="2"/>
      <c r="O116" s="2"/>
      <c r="P116" s="2"/>
      <c r="Q116" s="2"/>
      <c r="R116" s="2"/>
      <c r="S116" s="2"/>
      <c r="T116" s="2"/>
      <c r="U116" s="2"/>
      <c r="V116" s="2"/>
      <c r="W116" s="2"/>
      <c r="X116" s="2"/>
      <c r="Y116" s="2"/>
    </row>
    <row r="117" spans="1:25" ht="14.25" customHeight="1">
      <c r="A117" s="2"/>
      <c r="B117" s="2"/>
      <c r="C117" s="75"/>
      <c r="D117" s="2"/>
      <c r="E117" s="2"/>
      <c r="F117" s="2"/>
      <c r="G117" s="2"/>
      <c r="H117" s="2"/>
      <c r="I117" s="2"/>
      <c r="J117" s="2"/>
      <c r="K117" s="2"/>
      <c r="L117" s="2"/>
      <c r="M117" s="2"/>
      <c r="N117" s="2"/>
      <c r="O117" s="2"/>
      <c r="P117" s="2"/>
      <c r="Q117" s="2"/>
      <c r="R117" s="2"/>
      <c r="S117" s="2"/>
      <c r="T117" s="2"/>
      <c r="U117" s="2"/>
      <c r="V117" s="2"/>
      <c r="W117" s="2"/>
      <c r="X117" s="2"/>
      <c r="Y117" s="2"/>
    </row>
    <row r="118" spans="1:25" ht="14.25" customHeight="1">
      <c r="A118" s="2"/>
      <c r="B118" s="2"/>
      <c r="C118" s="75"/>
      <c r="D118" s="2"/>
      <c r="E118" s="2"/>
      <c r="F118" s="2"/>
      <c r="G118" s="2"/>
      <c r="H118" s="2"/>
      <c r="I118" s="2"/>
      <c r="J118" s="2"/>
      <c r="K118" s="2"/>
      <c r="L118" s="2"/>
      <c r="M118" s="2"/>
      <c r="N118" s="2"/>
      <c r="O118" s="2"/>
      <c r="P118" s="2"/>
      <c r="Q118" s="2"/>
      <c r="R118" s="2"/>
      <c r="S118" s="2"/>
      <c r="T118" s="2"/>
      <c r="U118" s="2"/>
      <c r="V118" s="2"/>
      <c r="W118" s="2"/>
      <c r="X118" s="2"/>
      <c r="Y118" s="2"/>
    </row>
    <row r="119" spans="1:25" ht="14.25" customHeight="1">
      <c r="A119" s="2"/>
      <c r="B119" s="2"/>
      <c r="C119" s="75"/>
      <c r="D119" s="2"/>
      <c r="E119" s="2"/>
      <c r="F119" s="2"/>
      <c r="G119" s="2"/>
      <c r="H119" s="2"/>
      <c r="I119" s="2"/>
      <c r="J119" s="2"/>
      <c r="K119" s="2"/>
      <c r="L119" s="2"/>
      <c r="M119" s="2"/>
      <c r="N119" s="2"/>
      <c r="O119" s="2"/>
      <c r="P119" s="2"/>
      <c r="Q119" s="2"/>
      <c r="R119" s="2"/>
      <c r="S119" s="2"/>
      <c r="T119" s="2"/>
      <c r="U119" s="2"/>
      <c r="V119" s="2"/>
      <c r="W119" s="2"/>
      <c r="X119" s="2"/>
      <c r="Y119" s="2"/>
    </row>
    <row r="120" spans="1:25" ht="14.25" customHeight="1">
      <c r="A120" s="2"/>
      <c r="B120" s="2"/>
      <c r="C120" s="75"/>
      <c r="D120" s="2"/>
      <c r="E120" s="2"/>
      <c r="F120" s="2"/>
      <c r="G120" s="2"/>
      <c r="H120" s="2"/>
      <c r="I120" s="2"/>
      <c r="J120" s="2"/>
      <c r="K120" s="2"/>
      <c r="L120" s="2"/>
      <c r="M120" s="2"/>
      <c r="N120" s="2"/>
      <c r="O120" s="2"/>
      <c r="P120" s="2"/>
      <c r="Q120" s="2"/>
      <c r="R120" s="2"/>
      <c r="S120" s="2"/>
      <c r="T120" s="2"/>
      <c r="U120" s="2"/>
      <c r="V120" s="2"/>
      <c r="W120" s="2"/>
      <c r="X120" s="2"/>
      <c r="Y120" s="2"/>
    </row>
    <row r="121" spans="1:25" ht="14.25" customHeight="1">
      <c r="A121" s="2"/>
      <c r="B121" s="2"/>
      <c r="C121" s="75"/>
      <c r="D121" s="2"/>
      <c r="E121" s="2"/>
      <c r="F121" s="2"/>
      <c r="G121" s="2"/>
      <c r="H121" s="2"/>
      <c r="I121" s="2"/>
      <c r="J121" s="2"/>
      <c r="K121" s="2"/>
      <c r="L121" s="2"/>
      <c r="M121" s="2"/>
      <c r="N121" s="2"/>
      <c r="O121" s="2"/>
      <c r="P121" s="2"/>
      <c r="Q121" s="2"/>
      <c r="R121" s="2"/>
      <c r="S121" s="2"/>
      <c r="T121" s="2"/>
      <c r="U121" s="2"/>
      <c r="V121" s="2"/>
      <c r="W121" s="2"/>
      <c r="X121" s="2"/>
      <c r="Y121" s="2"/>
    </row>
    <row r="122" spans="1:25" ht="14.25" customHeight="1">
      <c r="A122" s="2"/>
      <c r="B122" s="2"/>
      <c r="C122" s="75"/>
      <c r="D122" s="2"/>
      <c r="E122" s="2"/>
      <c r="F122" s="2"/>
      <c r="G122" s="2"/>
      <c r="H122" s="2"/>
      <c r="I122" s="2"/>
      <c r="J122" s="2"/>
      <c r="K122" s="2"/>
      <c r="L122" s="2"/>
      <c r="M122" s="2"/>
      <c r="N122" s="2"/>
      <c r="O122" s="2"/>
      <c r="P122" s="2"/>
      <c r="Q122" s="2"/>
      <c r="R122" s="2"/>
      <c r="S122" s="2"/>
      <c r="T122" s="2"/>
      <c r="U122" s="2"/>
      <c r="V122" s="2"/>
      <c r="W122" s="2"/>
      <c r="X122" s="2"/>
      <c r="Y122" s="2"/>
    </row>
    <row r="123" spans="1:25" ht="14.25" customHeight="1">
      <c r="A123" s="2"/>
      <c r="B123" s="2"/>
      <c r="C123" s="75"/>
      <c r="D123" s="2"/>
      <c r="E123" s="2"/>
      <c r="F123" s="2"/>
      <c r="G123" s="2"/>
      <c r="H123" s="2"/>
      <c r="I123" s="2"/>
      <c r="J123" s="2"/>
      <c r="K123" s="2"/>
      <c r="L123" s="2"/>
      <c r="M123" s="2"/>
      <c r="N123" s="2"/>
      <c r="O123" s="2"/>
      <c r="P123" s="2"/>
      <c r="Q123" s="2"/>
      <c r="R123" s="2"/>
      <c r="S123" s="2"/>
      <c r="T123" s="2"/>
      <c r="U123" s="2"/>
      <c r="V123" s="2"/>
      <c r="W123" s="2"/>
      <c r="X123" s="2"/>
      <c r="Y123" s="2"/>
    </row>
    <row r="124" spans="1:25" ht="14.25" customHeight="1">
      <c r="A124" s="2"/>
      <c r="B124" s="2"/>
      <c r="C124" s="75"/>
      <c r="D124" s="2"/>
      <c r="E124" s="2"/>
      <c r="F124" s="2"/>
      <c r="G124" s="2"/>
      <c r="H124" s="2"/>
      <c r="I124" s="2"/>
      <c r="J124" s="2"/>
      <c r="K124" s="2"/>
      <c r="L124" s="2"/>
      <c r="M124" s="2"/>
      <c r="N124" s="2"/>
      <c r="O124" s="2"/>
      <c r="P124" s="2"/>
      <c r="Q124" s="2"/>
      <c r="R124" s="2"/>
      <c r="S124" s="2"/>
      <c r="T124" s="2"/>
      <c r="U124" s="2"/>
      <c r="V124" s="2"/>
      <c r="W124" s="2"/>
      <c r="X124" s="2"/>
      <c r="Y124" s="2"/>
    </row>
    <row r="125" spans="1:25" ht="14.25" customHeight="1">
      <c r="A125" s="2"/>
      <c r="B125" s="2"/>
      <c r="C125" s="75"/>
      <c r="D125" s="2"/>
      <c r="E125" s="2"/>
      <c r="F125" s="2"/>
      <c r="G125" s="2"/>
      <c r="H125" s="2"/>
      <c r="I125" s="2"/>
      <c r="J125" s="2"/>
      <c r="K125" s="2"/>
      <c r="L125" s="2"/>
      <c r="M125" s="2"/>
      <c r="N125" s="2"/>
      <c r="O125" s="2"/>
      <c r="P125" s="2"/>
      <c r="Q125" s="2"/>
      <c r="R125" s="2"/>
      <c r="S125" s="2"/>
      <c r="T125" s="2"/>
      <c r="U125" s="2"/>
      <c r="V125" s="2"/>
      <c r="W125" s="2"/>
      <c r="X125" s="2"/>
      <c r="Y125" s="2"/>
    </row>
    <row r="126" spans="1:25" ht="14.25" customHeight="1">
      <c r="A126" s="2"/>
      <c r="B126" s="2"/>
      <c r="C126" s="75"/>
      <c r="D126" s="2"/>
      <c r="E126" s="2"/>
      <c r="F126" s="2"/>
      <c r="G126" s="2"/>
      <c r="H126" s="2"/>
      <c r="I126" s="2"/>
      <c r="J126" s="2"/>
      <c r="K126" s="2"/>
      <c r="L126" s="2"/>
      <c r="M126" s="2"/>
      <c r="N126" s="2"/>
      <c r="O126" s="2"/>
      <c r="P126" s="2"/>
      <c r="Q126" s="2"/>
      <c r="R126" s="2"/>
      <c r="S126" s="2"/>
      <c r="T126" s="2"/>
      <c r="U126" s="2"/>
      <c r="V126" s="2"/>
      <c r="W126" s="2"/>
      <c r="X126" s="2"/>
      <c r="Y126" s="2"/>
    </row>
    <row r="127" spans="1:25" ht="14.25" customHeight="1">
      <c r="A127" s="2"/>
      <c r="B127" s="2"/>
      <c r="C127" s="75"/>
      <c r="D127" s="2"/>
      <c r="E127" s="2"/>
      <c r="F127" s="2"/>
      <c r="G127" s="2"/>
      <c r="H127" s="2"/>
      <c r="I127" s="2"/>
      <c r="J127" s="2"/>
      <c r="K127" s="2"/>
      <c r="L127" s="2"/>
      <c r="M127" s="2"/>
      <c r="N127" s="2"/>
      <c r="O127" s="2"/>
      <c r="P127" s="2"/>
      <c r="Q127" s="2"/>
      <c r="R127" s="2"/>
      <c r="S127" s="2"/>
      <c r="T127" s="2"/>
      <c r="U127" s="2"/>
      <c r="V127" s="2"/>
      <c r="W127" s="2"/>
      <c r="X127" s="2"/>
      <c r="Y127" s="2"/>
    </row>
    <row r="128" spans="1:25" ht="14.25" customHeight="1">
      <c r="A128" s="2"/>
      <c r="B128" s="2"/>
      <c r="C128" s="75"/>
      <c r="D128" s="2"/>
      <c r="E128" s="2"/>
      <c r="F128" s="2"/>
      <c r="G128" s="2"/>
      <c r="H128" s="2"/>
      <c r="I128" s="2"/>
      <c r="J128" s="2"/>
      <c r="K128" s="2"/>
      <c r="L128" s="2"/>
      <c r="M128" s="2"/>
      <c r="N128" s="2"/>
      <c r="O128" s="2"/>
      <c r="P128" s="2"/>
      <c r="Q128" s="2"/>
      <c r="R128" s="2"/>
      <c r="S128" s="2"/>
      <c r="T128" s="2"/>
      <c r="U128" s="2"/>
      <c r="V128" s="2"/>
      <c r="W128" s="2"/>
      <c r="X128" s="2"/>
      <c r="Y128" s="2"/>
    </row>
    <row r="129" spans="1:25" ht="14.25" customHeight="1">
      <c r="A129" s="2"/>
      <c r="B129" s="2"/>
      <c r="C129" s="75"/>
      <c r="D129" s="2"/>
      <c r="E129" s="2"/>
      <c r="F129" s="2"/>
      <c r="G129" s="2"/>
      <c r="H129" s="2"/>
      <c r="I129" s="2"/>
      <c r="J129" s="2"/>
      <c r="K129" s="2"/>
      <c r="L129" s="2"/>
      <c r="M129" s="2"/>
      <c r="N129" s="2"/>
      <c r="O129" s="2"/>
      <c r="P129" s="2"/>
      <c r="Q129" s="2"/>
      <c r="R129" s="2"/>
      <c r="S129" s="2"/>
      <c r="T129" s="2"/>
      <c r="U129" s="2"/>
      <c r="V129" s="2"/>
      <c r="W129" s="2"/>
      <c r="X129" s="2"/>
      <c r="Y129" s="2"/>
    </row>
    <row r="130" spans="1:25" ht="14.25" customHeight="1">
      <c r="A130" s="2"/>
      <c r="B130" s="2"/>
      <c r="C130" s="75"/>
      <c r="D130" s="2"/>
      <c r="E130" s="2"/>
      <c r="F130" s="2"/>
      <c r="G130" s="2"/>
      <c r="H130" s="2"/>
      <c r="I130" s="2"/>
      <c r="J130" s="2"/>
      <c r="K130" s="2"/>
      <c r="L130" s="2"/>
      <c r="M130" s="2"/>
      <c r="N130" s="2"/>
      <c r="O130" s="2"/>
      <c r="P130" s="2"/>
      <c r="Q130" s="2"/>
      <c r="R130" s="2"/>
      <c r="S130" s="2"/>
      <c r="T130" s="2"/>
      <c r="U130" s="2"/>
      <c r="V130" s="2"/>
      <c r="W130" s="2"/>
      <c r="X130" s="2"/>
      <c r="Y130" s="2"/>
    </row>
    <row r="131" spans="1:25" ht="14.25" customHeight="1">
      <c r="A131" s="2"/>
      <c r="B131" s="2"/>
      <c r="C131" s="75"/>
      <c r="D131" s="2"/>
      <c r="E131" s="2"/>
      <c r="F131" s="2"/>
      <c r="G131" s="2"/>
      <c r="H131" s="2"/>
      <c r="I131" s="2"/>
      <c r="J131" s="2"/>
      <c r="K131" s="2"/>
      <c r="L131" s="2"/>
      <c r="M131" s="2"/>
      <c r="N131" s="2"/>
      <c r="O131" s="2"/>
      <c r="P131" s="2"/>
      <c r="Q131" s="2"/>
      <c r="R131" s="2"/>
      <c r="S131" s="2"/>
      <c r="T131" s="2"/>
      <c r="U131" s="2"/>
      <c r="V131" s="2"/>
      <c r="W131" s="2"/>
      <c r="X131" s="2"/>
      <c r="Y131" s="2"/>
    </row>
    <row r="132" spans="1:25" ht="14.25" customHeight="1">
      <c r="A132" s="2"/>
      <c r="B132" s="2"/>
      <c r="C132" s="75"/>
      <c r="D132" s="2"/>
      <c r="E132" s="2"/>
      <c r="F132" s="2"/>
      <c r="G132" s="2"/>
      <c r="H132" s="2"/>
      <c r="I132" s="2"/>
      <c r="J132" s="2"/>
      <c r="K132" s="2"/>
      <c r="L132" s="2"/>
      <c r="M132" s="2"/>
      <c r="N132" s="2"/>
      <c r="O132" s="2"/>
      <c r="P132" s="2"/>
      <c r="Q132" s="2"/>
      <c r="R132" s="2"/>
      <c r="S132" s="2"/>
      <c r="T132" s="2"/>
      <c r="U132" s="2"/>
      <c r="V132" s="2"/>
      <c r="W132" s="2"/>
      <c r="X132" s="2"/>
      <c r="Y132" s="2"/>
    </row>
    <row r="133" spans="1:25" ht="14.25" customHeight="1">
      <c r="A133" s="2"/>
      <c r="B133" s="2"/>
      <c r="C133" s="75"/>
      <c r="D133" s="2"/>
      <c r="E133" s="2"/>
      <c r="F133" s="2"/>
      <c r="G133" s="2"/>
      <c r="H133" s="2"/>
      <c r="I133" s="2"/>
      <c r="J133" s="2"/>
      <c r="K133" s="2"/>
      <c r="L133" s="2"/>
      <c r="M133" s="2"/>
      <c r="N133" s="2"/>
      <c r="O133" s="2"/>
      <c r="P133" s="2"/>
      <c r="Q133" s="2"/>
      <c r="R133" s="2"/>
      <c r="S133" s="2"/>
      <c r="T133" s="2"/>
      <c r="U133" s="2"/>
      <c r="V133" s="2"/>
      <c r="W133" s="2"/>
      <c r="X133" s="2"/>
      <c r="Y133" s="2"/>
    </row>
    <row r="134" spans="1:25" ht="14.25" customHeight="1">
      <c r="A134" s="2"/>
      <c r="B134" s="2"/>
      <c r="C134" s="75"/>
      <c r="D134" s="2"/>
      <c r="E134" s="2"/>
      <c r="F134" s="2"/>
      <c r="G134" s="2"/>
      <c r="H134" s="2"/>
      <c r="I134" s="2"/>
      <c r="J134" s="2"/>
      <c r="K134" s="2"/>
      <c r="L134" s="2"/>
      <c r="M134" s="2"/>
      <c r="N134" s="2"/>
      <c r="O134" s="2"/>
      <c r="P134" s="2"/>
      <c r="Q134" s="2"/>
      <c r="R134" s="2"/>
      <c r="S134" s="2"/>
      <c r="T134" s="2"/>
      <c r="U134" s="2"/>
      <c r="V134" s="2"/>
      <c r="W134" s="2"/>
      <c r="X134" s="2"/>
      <c r="Y134" s="2"/>
    </row>
    <row r="135" spans="1:25" ht="14.25" customHeight="1">
      <c r="A135" s="2"/>
      <c r="B135" s="2"/>
      <c r="C135" s="75"/>
      <c r="D135" s="2"/>
      <c r="E135" s="2"/>
      <c r="F135" s="2"/>
      <c r="G135" s="2"/>
      <c r="H135" s="2"/>
      <c r="I135" s="2"/>
      <c r="J135" s="2"/>
      <c r="K135" s="2"/>
      <c r="L135" s="2"/>
      <c r="M135" s="2"/>
      <c r="N135" s="2"/>
      <c r="O135" s="2"/>
      <c r="P135" s="2"/>
      <c r="Q135" s="2"/>
      <c r="R135" s="2"/>
      <c r="S135" s="2"/>
      <c r="T135" s="2"/>
      <c r="U135" s="2"/>
      <c r="V135" s="2"/>
      <c r="W135" s="2"/>
      <c r="X135" s="2"/>
      <c r="Y135" s="2"/>
    </row>
    <row r="136" spans="1:25" ht="14.25" customHeight="1">
      <c r="A136" s="2"/>
      <c r="B136" s="2"/>
      <c r="C136" s="75"/>
      <c r="D136" s="2"/>
      <c r="E136" s="2"/>
      <c r="F136" s="2"/>
      <c r="G136" s="2"/>
      <c r="H136" s="2"/>
      <c r="I136" s="2"/>
      <c r="J136" s="2"/>
      <c r="K136" s="2"/>
      <c r="L136" s="2"/>
      <c r="M136" s="2"/>
      <c r="N136" s="2"/>
      <c r="O136" s="2"/>
      <c r="P136" s="2"/>
      <c r="Q136" s="2"/>
      <c r="R136" s="2"/>
      <c r="S136" s="2"/>
      <c r="T136" s="2"/>
      <c r="U136" s="2"/>
      <c r="V136" s="2"/>
      <c r="W136" s="2"/>
      <c r="X136" s="2"/>
      <c r="Y136" s="2"/>
    </row>
    <row r="137" spans="1:25" ht="14.25" customHeight="1">
      <c r="A137" s="2"/>
      <c r="B137" s="2"/>
      <c r="C137" s="75"/>
      <c r="D137" s="2"/>
      <c r="E137" s="2"/>
      <c r="F137" s="2"/>
      <c r="G137" s="2"/>
      <c r="H137" s="2"/>
      <c r="I137" s="2"/>
      <c r="J137" s="2"/>
      <c r="K137" s="2"/>
      <c r="L137" s="2"/>
      <c r="M137" s="2"/>
      <c r="N137" s="2"/>
      <c r="O137" s="2"/>
      <c r="P137" s="2"/>
      <c r="Q137" s="2"/>
      <c r="R137" s="2"/>
      <c r="S137" s="2"/>
      <c r="T137" s="2"/>
      <c r="U137" s="2"/>
      <c r="V137" s="2"/>
      <c r="W137" s="2"/>
      <c r="X137" s="2"/>
      <c r="Y137" s="2"/>
    </row>
    <row r="138" spans="1:25" ht="14.25" customHeight="1">
      <c r="A138" s="2"/>
      <c r="B138" s="2"/>
      <c r="C138" s="75"/>
      <c r="D138" s="2"/>
      <c r="E138" s="2"/>
      <c r="F138" s="2"/>
      <c r="G138" s="2"/>
      <c r="H138" s="2"/>
      <c r="I138" s="2"/>
      <c r="J138" s="2"/>
      <c r="K138" s="2"/>
      <c r="L138" s="2"/>
      <c r="M138" s="2"/>
      <c r="N138" s="2"/>
      <c r="O138" s="2"/>
      <c r="P138" s="2"/>
      <c r="Q138" s="2"/>
      <c r="R138" s="2"/>
      <c r="S138" s="2"/>
      <c r="T138" s="2"/>
      <c r="U138" s="2"/>
      <c r="V138" s="2"/>
      <c r="W138" s="2"/>
      <c r="X138" s="2"/>
      <c r="Y138" s="2"/>
    </row>
    <row r="139" spans="1:25" ht="14.25" customHeight="1">
      <c r="A139" s="2"/>
      <c r="B139" s="2"/>
      <c r="C139" s="75"/>
      <c r="D139" s="2"/>
      <c r="E139" s="2"/>
      <c r="F139" s="2"/>
      <c r="G139" s="2"/>
      <c r="H139" s="2"/>
      <c r="I139" s="2"/>
      <c r="J139" s="2"/>
      <c r="K139" s="2"/>
      <c r="L139" s="2"/>
      <c r="M139" s="2"/>
      <c r="N139" s="2"/>
      <c r="O139" s="2"/>
      <c r="P139" s="2"/>
      <c r="Q139" s="2"/>
      <c r="R139" s="2"/>
      <c r="S139" s="2"/>
      <c r="T139" s="2"/>
      <c r="U139" s="2"/>
      <c r="V139" s="2"/>
      <c r="W139" s="2"/>
      <c r="X139" s="2"/>
      <c r="Y139" s="2"/>
    </row>
    <row r="140" spans="1:25" ht="14.25" customHeight="1">
      <c r="A140" s="2"/>
      <c r="B140" s="2"/>
      <c r="C140" s="75"/>
      <c r="D140" s="2"/>
      <c r="E140" s="2"/>
      <c r="F140" s="2"/>
      <c r="G140" s="2"/>
      <c r="H140" s="2"/>
      <c r="I140" s="2"/>
      <c r="J140" s="2"/>
      <c r="K140" s="2"/>
      <c r="L140" s="2"/>
      <c r="M140" s="2"/>
      <c r="N140" s="2"/>
      <c r="O140" s="2"/>
      <c r="P140" s="2"/>
      <c r="Q140" s="2"/>
      <c r="R140" s="2"/>
      <c r="S140" s="2"/>
      <c r="T140" s="2"/>
      <c r="U140" s="2"/>
      <c r="V140" s="2"/>
      <c r="W140" s="2"/>
      <c r="X140" s="2"/>
      <c r="Y140" s="2"/>
    </row>
    <row r="141" spans="1:25" ht="14.25" customHeight="1">
      <c r="A141" s="2"/>
      <c r="B141" s="2"/>
      <c r="C141" s="75"/>
      <c r="D141" s="2"/>
      <c r="E141" s="2"/>
      <c r="F141" s="2"/>
      <c r="G141" s="2"/>
      <c r="H141" s="2"/>
      <c r="I141" s="2"/>
      <c r="J141" s="2"/>
      <c r="K141" s="2"/>
      <c r="L141" s="2"/>
      <c r="M141" s="2"/>
      <c r="N141" s="2"/>
      <c r="O141" s="2"/>
      <c r="P141" s="2"/>
      <c r="Q141" s="2"/>
      <c r="R141" s="2"/>
      <c r="S141" s="2"/>
      <c r="T141" s="2"/>
      <c r="U141" s="2"/>
      <c r="V141" s="2"/>
      <c r="W141" s="2"/>
      <c r="X141" s="2"/>
      <c r="Y141" s="2"/>
    </row>
    <row r="142" spans="1:25" ht="14.25" customHeight="1">
      <c r="A142" s="2"/>
      <c r="B142" s="2"/>
      <c r="C142" s="75"/>
      <c r="D142" s="2"/>
      <c r="E142" s="2"/>
      <c r="F142" s="2"/>
      <c r="G142" s="2"/>
      <c r="H142" s="2"/>
      <c r="I142" s="2"/>
      <c r="J142" s="2"/>
      <c r="K142" s="2"/>
      <c r="L142" s="2"/>
      <c r="M142" s="2"/>
      <c r="N142" s="2"/>
      <c r="O142" s="2"/>
      <c r="P142" s="2"/>
      <c r="Q142" s="2"/>
      <c r="R142" s="2"/>
      <c r="S142" s="2"/>
      <c r="T142" s="2"/>
      <c r="U142" s="2"/>
      <c r="V142" s="2"/>
      <c r="W142" s="2"/>
      <c r="X142" s="2"/>
      <c r="Y142" s="2"/>
    </row>
    <row r="143" spans="1:25" ht="14.25" customHeight="1">
      <c r="A143" s="2"/>
      <c r="B143" s="2"/>
      <c r="C143" s="75"/>
      <c r="D143" s="2"/>
      <c r="E143" s="2"/>
      <c r="F143" s="2"/>
      <c r="G143" s="2"/>
      <c r="H143" s="2"/>
      <c r="I143" s="2"/>
      <c r="J143" s="2"/>
      <c r="K143" s="2"/>
      <c r="L143" s="2"/>
      <c r="M143" s="2"/>
      <c r="N143" s="2"/>
      <c r="O143" s="2"/>
      <c r="P143" s="2"/>
      <c r="Q143" s="2"/>
      <c r="R143" s="2"/>
      <c r="S143" s="2"/>
      <c r="T143" s="2"/>
      <c r="U143" s="2"/>
      <c r="V143" s="2"/>
      <c r="W143" s="2"/>
      <c r="X143" s="2"/>
      <c r="Y143" s="2"/>
    </row>
    <row r="144" spans="1:25" ht="14.25" customHeight="1">
      <c r="A144" s="2"/>
      <c r="B144" s="2"/>
      <c r="C144" s="75"/>
      <c r="D144" s="2"/>
      <c r="E144" s="2"/>
      <c r="F144" s="2"/>
      <c r="G144" s="2"/>
      <c r="H144" s="2"/>
      <c r="I144" s="2"/>
      <c r="J144" s="2"/>
      <c r="K144" s="2"/>
      <c r="L144" s="2"/>
      <c r="M144" s="2"/>
      <c r="N144" s="2"/>
      <c r="O144" s="2"/>
      <c r="P144" s="2"/>
      <c r="Q144" s="2"/>
      <c r="R144" s="2"/>
      <c r="S144" s="2"/>
      <c r="T144" s="2"/>
      <c r="U144" s="2"/>
      <c r="V144" s="2"/>
      <c r="W144" s="2"/>
      <c r="X144" s="2"/>
      <c r="Y144" s="2"/>
    </row>
    <row r="145" spans="1:25" ht="14.25" customHeight="1">
      <c r="A145" s="2"/>
      <c r="B145" s="2"/>
      <c r="C145" s="75"/>
      <c r="D145" s="2"/>
      <c r="E145" s="2"/>
      <c r="F145" s="2"/>
      <c r="G145" s="2"/>
      <c r="H145" s="2"/>
      <c r="I145" s="2"/>
      <c r="J145" s="2"/>
      <c r="K145" s="2"/>
      <c r="L145" s="2"/>
      <c r="M145" s="2"/>
      <c r="N145" s="2"/>
      <c r="O145" s="2"/>
      <c r="P145" s="2"/>
      <c r="Q145" s="2"/>
      <c r="R145" s="2"/>
      <c r="S145" s="2"/>
      <c r="T145" s="2"/>
      <c r="U145" s="2"/>
      <c r="V145" s="2"/>
      <c r="W145" s="2"/>
      <c r="X145" s="2"/>
      <c r="Y145" s="2"/>
    </row>
    <row r="146" spans="1:25" ht="14.25" customHeight="1">
      <c r="A146" s="2"/>
      <c r="B146" s="2"/>
      <c r="C146" s="75"/>
      <c r="D146" s="2"/>
      <c r="E146" s="2"/>
      <c r="F146" s="2"/>
      <c r="G146" s="2"/>
      <c r="H146" s="2"/>
      <c r="I146" s="2"/>
      <c r="J146" s="2"/>
      <c r="K146" s="2"/>
      <c r="L146" s="2"/>
      <c r="M146" s="2"/>
      <c r="N146" s="2"/>
      <c r="O146" s="2"/>
      <c r="P146" s="2"/>
      <c r="Q146" s="2"/>
      <c r="R146" s="2"/>
      <c r="S146" s="2"/>
      <c r="T146" s="2"/>
      <c r="U146" s="2"/>
      <c r="V146" s="2"/>
      <c r="W146" s="2"/>
      <c r="X146" s="2"/>
      <c r="Y146" s="2"/>
    </row>
    <row r="147" spans="1:25" ht="14.25" customHeight="1">
      <c r="A147" s="2"/>
      <c r="B147" s="2"/>
      <c r="C147" s="75"/>
      <c r="D147" s="2"/>
      <c r="E147" s="2"/>
      <c r="F147" s="2"/>
      <c r="G147" s="2"/>
      <c r="H147" s="2"/>
      <c r="I147" s="2"/>
      <c r="J147" s="2"/>
      <c r="K147" s="2"/>
      <c r="L147" s="2"/>
      <c r="M147" s="2"/>
      <c r="N147" s="2"/>
      <c r="O147" s="2"/>
      <c r="P147" s="2"/>
      <c r="Q147" s="2"/>
      <c r="R147" s="2"/>
      <c r="S147" s="2"/>
      <c r="T147" s="2"/>
      <c r="U147" s="2"/>
      <c r="V147" s="2"/>
      <c r="W147" s="2"/>
      <c r="X147" s="2"/>
      <c r="Y147" s="2"/>
    </row>
    <row r="148" spans="1:25" ht="14.25" customHeight="1">
      <c r="A148" s="2"/>
      <c r="B148" s="2"/>
      <c r="C148" s="75"/>
      <c r="D148" s="2"/>
      <c r="E148" s="2"/>
      <c r="F148" s="2"/>
      <c r="G148" s="2"/>
      <c r="H148" s="2"/>
      <c r="I148" s="2"/>
      <c r="J148" s="2"/>
      <c r="K148" s="2"/>
      <c r="L148" s="2"/>
      <c r="M148" s="2"/>
      <c r="N148" s="2"/>
      <c r="O148" s="2"/>
      <c r="P148" s="2"/>
      <c r="Q148" s="2"/>
      <c r="R148" s="2"/>
      <c r="S148" s="2"/>
      <c r="T148" s="2"/>
      <c r="U148" s="2"/>
      <c r="V148" s="2"/>
      <c r="W148" s="2"/>
      <c r="X148" s="2"/>
      <c r="Y148" s="2"/>
    </row>
    <row r="149" spans="1:25" ht="14.25" customHeight="1">
      <c r="A149" s="2"/>
      <c r="B149" s="2"/>
      <c r="C149" s="75"/>
      <c r="D149" s="2"/>
      <c r="E149" s="2"/>
      <c r="F149" s="2"/>
      <c r="G149" s="2"/>
      <c r="H149" s="2"/>
      <c r="I149" s="2"/>
      <c r="J149" s="2"/>
      <c r="K149" s="2"/>
      <c r="L149" s="2"/>
      <c r="M149" s="2"/>
      <c r="N149" s="2"/>
      <c r="O149" s="2"/>
      <c r="P149" s="2"/>
      <c r="Q149" s="2"/>
      <c r="R149" s="2"/>
      <c r="S149" s="2"/>
      <c r="T149" s="2"/>
      <c r="U149" s="2"/>
      <c r="V149" s="2"/>
      <c r="W149" s="2"/>
      <c r="X149" s="2"/>
      <c r="Y149" s="2"/>
    </row>
    <row r="150" spans="1:25" ht="14.25" customHeight="1">
      <c r="A150" s="2"/>
      <c r="B150" s="2"/>
      <c r="C150" s="75"/>
      <c r="D150" s="2"/>
      <c r="E150" s="2"/>
      <c r="F150" s="2"/>
      <c r="G150" s="2"/>
      <c r="H150" s="2"/>
      <c r="I150" s="2"/>
      <c r="J150" s="2"/>
      <c r="K150" s="2"/>
      <c r="L150" s="2"/>
      <c r="M150" s="2"/>
      <c r="N150" s="2"/>
      <c r="O150" s="2"/>
      <c r="P150" s="2"/>
      <c r="Q150" s="2"/>
      <c r="R150" s="2"/>
      <c r="S150" s="2"/>
      <c r="T150" s="2"/>
      <c r="U150" s="2"/>
      <c r="V150" s="2"/>
      <c r="W150" s="2"/>
      <c r="X150" s="2"/>
      <c r="Y150" s="2"/>
    </row>
    <row r="151" spans="1:25" ht="14.25" customHeight="1">
      <c r="A151" s="2"/>
      <c r="B151" s="2"/>
      <c r="C151" s="75"/>
      <c r="D151" s="2"/>
      <c r="E151" s="2"/>
      <c r="F151" s="2"/>
      <c r="G151" s="2"/>
      <c r="H151" s="2"/>
      <c r="I151" s="2"/>
      <c r="J151" s="2"/>
      <c r="K151" s="2"/>
      <c r="L151" s="2"/>
      <c r="M151" s="2"/>
      <c r="N151" s="2"/>
      <c r="O151" s="2"/>
      <c r="P151" s="2"/>
      <c r="Q151" s="2"/>
      <c r="R151" s="2"/>
      <c r="S151" s="2"/>
      <c r="T151" s="2"/>
      <c r="U151" s="2"/>
      <c r="V151" s="2"/>
      <c r="W151" s="2"/>
      <c r="X151" s="2"/>
      <c r="Y151" s="2"/>
    </row>
    <row r="152" spans="1:25" ht="14.25" customHeight="1">
      <c r="A152" s="2"/>
      <c r="B152" s="2"/>
      <c r="C152" s="75"/>
      <c r="D152" s="2"/>
      <c r="E152" s="2"/>
      <c r="F152" s="2"/>
      <c r="G152" s="2"/>
      <c r="H152" s="2"/>
      <c r="I152" s="2"/>
      <c r="J152" s="2"/>
      <c r="K152" s="2"/>
      <c r="L152" s="2"/>
      <c r="M152" s="2"/>
      <c r="N152" s="2"/>
      <c r="O152" s="2"/>
      <c r="P152" s="2"/>
      <c r="Q152" s="2"/>
      <c r="R152" s="2"/>
      <c r="S152" s="2"/>
      <c r="T152" s="2"/>
      <c r="U152" s="2"/>
      <c r="V152" s="2"/>
      <c r="W152" s="2"/>
      <c r="X152" s="2"/>
      <c r="Y152" s="2"/>
    </row>
    <row r="153" spans="1:25" ht="14.25" customHeight="1">
      <c r="A153" s="2"/>
      <c r="B153" s="2"/>
      <c r="C153" s="75"/>
      <c r="D153" s="2"/>
      <c r="E153" s="2"/>
      <c r="F153" s="2"/>
      <c r="G153" s="2"/>
      <c r="H153" s="2"/>
      <c r="I153" s="2"/>
      <c r="J153" s="2"/>
      <c r="K153" s="2"/>
      <c r="L153" s="2"/>
      <c r="M153" s="2"/>
      <c r="N153" s="2"/>
      <c r="O153" s="2"/>
      <c r="P153" s="2"/>
      <c r="Q153" s="2"/>
      <c r="R153" s="2"/>
      <c r="S153" s="2"/>
      <c r="T153" s="2"/>
      <c r="U153" s="2"/>
      <c r="V153" s="2"/>
      <c r="W153" s="2"/>
      <c r="X153" s="2"/>
      <c r="Y153" s="2"/>
    </row>
    <row r="154" spans="1:25" ht="14.25" customHeight="1">
      <c r="A154" s="2"/>
      <c r="B154" s="2"/>
      <c r="C154" s="75"/>
      <c r="D154" s="2"/>
      <c r="E154" s="2"/>
      <c r="F154" s="2"/>
      <c r="G154" s="2"/>
      <c r="H154" s="2"/>
      <c r="I154" s="2"/>
      <c r="J154" s="2"/>
      <c r="K154" s="2"/>
      <c r="L154" s="2"/>
      <c r="M154" s="2"/>
      <c r="N154" s="2"/>
      <c r="O154" s="2"/>
      <c r="P154" s="2"/>
      <c r="Q154" s="2"/>
      <c r="R154" s="2"/>
      <c r="S154" s="2"/>
      <c r="T154" s="2"/>
      <c r="U154" s="2"/>
      <c r="V154" s="2"/>
      <c r="W154" s="2"/>
      <c r="X154" s="2"/>
      <c r="Y154" s="2"/>
    </row>
    <row r="155" spans="1:25" ht="14.25" customHeight="1">
      <c r="A155" s="2"/>
      <c r="B155" s="2"/>
      <c r="C155" s="75"/>
      <c r="D155" s="2"/>
      <c r="E155" s="2"/>
      <c r="F155" s="2"/>
      <c r="G155" s="2"/>
      <c r="H155" s="2"/>
      <c r="I155" s="2"/>
      <c r="J155" s="2"/>
      <c r="K155" s="2"/>
      <c r="L155" s="2"/>
      <c r="M155" s="2"/>
      <c r="N155" s="2"/>
      <c r="O155" s="2"/>
      <c r="P155" s="2"/>
      <c r="Q155" s="2"/>
      <c r="R155" s="2"/>
      <c r="S155" s="2"/>
      <c r="T155" s="2"/>
      <c r="U155" s="2"/>
      <c r="V155" s="2"/>
      <c r="W155" s="2"/>
      <c r="X155" s="2"/>
      <c r="Y155" s="2"/>
    </row>
    <row r="156" spans="1:25" ht="14.25" customHeight="1">
      <c r="A156" s="2"/>
      <c r="B156" s="2"/>
      <c r="C156" s="75"/>
      <c r="D156" s="2"/>
      <c r="E156" s="2"/>
      <c r="F156" s="2"/>
      <c r="G156" s="2"/>
      <c r="H156" s="2"/>
      <c r="I156" s="2"/>
      <c r="J156" s="2"/>
      <c r="K156" s="2"/>
      <c r="L156" s="2"/>
      <c r="M156" s="2"/>
      <c r="N156" s="2"/>
      <c r="O156" s="2"/>
      <c r="P156" s="2"/>
      <c r="Q156" s="2"/>
      <c r="R156" s="2"/>
      <c r="S156" s="2"/>
      <c r="T156" s="2"/>
      <c r="U156" s="2"/>
      <c r="V156" s="2"/>
      <c r="W156" s="2"/>
      <c r="X156" s="2"/>
      <c r="Y156" s="2"/>
    </row>
    <row r="157" spans="1:25" ht="14.25" customHeight="1">
      <c r="A157" s="2"/>
      <c r="B157" s="2"/>
      <c r="C157" s="75"/>
      <c r="D157" s="2"/>
      <c r="E157" s="2"/>
      <c r="F157" s="2"/>
      <c r="G157" s="2"/>
      <c r="H157" s="2"/>
      <c r="I157" s="2"/>
      <c r="J157" s="2"/>
      <c r="K157" s="2"/>
      <c r="L157" s="2"/>
      <c r="M157" s="2"/>
      <c r="N157" s="2"/>
      <c r="O157" s="2"/>
      <c r="P157" s="2"/>
      <c r="Q157" s="2"/>
      <c r="R157" s="2"/>
      <c r="S157" s="2"/>
      <c r="T157" s="2"/>
      <c r="U157" s="2"/>
      <c r="V157" s="2"/>
      <c r="W157" s="2"/>
      <c r="X157" s="2"/>
      <c r="Y157" s="2"/>
    </row>
    <row r="158" spans="1:25" ht="14.25" customHeight="1">
      <c r="A158" s="2"/>
      <c r="B158" s="2"/>
      <c r="C158" s="75"/>
      <c r="D158" s="2"/>
      <c r="E158" s="2"/>
      <c r="F158" s="2"/>
      <c r="G158" s="2"/>
      <c r="H158" s="2"/>
      <c r="I158" s="2"/>
      <c r="J158" s="2"/>
      <c r="K158" s="2"/>
      <c r="L158" s="2"/>
      <c r="M158" s="2"/>
      <c r="N158" s="2"/>
      <c r="O158" s="2"/>
      <c r="P158" s="2"/>
      <c r="Q158" s="2"/>
      <c r="R158" s="2"/>
      <c r="S158" s="2"/>
      <c r="T158" s="2"/>
      <c r="U158" s="2"/>
      <c r="V158" s="2"/>
      <c r="W158" s="2"/>
      <c r="X158" s="2"/>
      <c r="Y158" s="2"/>
    </row>
    <row r="159" spans="1:25" ht="14.25" customHeight="1">
      <c r="A159" s="2"/>
      <c r="B159" s="2"/>
      <c r="C159" s="75"/>
      <c r="D159" s="2"/>
      <c r="E159" s="2"/>
      <c r="F159" s="2"/>
      <c r="G159" s="2"/>
      <c r="H159" s="2"/>
      <c r="I159" s="2"/>
      <c r="J159" s="2"/>
      <c r="K159" s="2"/>
      <c r="L159" s="2"/>
      <c r="M159" s="2"/>
      <c r="N159" s="2"/>
      <c r="O159" s="2"/>
      <c r="P159" s="2"/>
      <c r="Q159" s="2"/>
      <c r="R159" s="2"/>
      <c r="S159" s="2"/>
      <c r="T159" s="2"/>
      <c r="U159" s="2"/>
      <c r="V159" s="2"/>
      <c r="W159" s="2"/>
      <c r="X159" s="2"/>
      <c r="Y159" s="2"/>
    </row>
    <row r="160" spans="1:25" ht="14.25" customHeight="1">
      <c r="A160" s="2"/>
      <c r="B160" s="2"/>
      <c r="C160" s="75"/>
      <c r="D160" s="2"/>
      <c r="E160" s="2"/>
      <c r="F160" s="2"/>
      <c r="G160" s="2"/>
      <c r="H160" s="2"/>
      <c r="I160" s="2"/>
      <c r="J160" s="2"/>
      <c r="K160" s="2"/>
      <c r="L160" s="2"/>
      <c r="M160" s="2"/>
      <c r="N160" s="2"/>
      <c r="O160" s="2"/>
      <c r="P160" s="2"/>
      <c r="Q160" s="2"/>
      <c r="R160" s="2"/>
      <c r="S160" s="2"/>
      <c r="T160" s="2"/>
      <c r="U160" s="2"/>
      <c r="V160" s="2"/>
      <c r="W160" s="2"/>
      <c r="X160" s="2"/>
      <c r="Y160" s="2"/>
    </row>
    <row r="161" spans="1:25" ht="14.25" customHeight="1">
      <c r="A161" s="2"/>
      <c r="B161" s="2"/>
      <c r="C161" s="75"/>
      <c r="D161" s="2"/>
      <c r="E161" s="2"/>
      <c r="F161" s="2"/>
      <c r="G161" s="2"/>
      <c r="H161" s="2"/>
      <c r="I161" s="2"/>
      <c r="J161" s="2"/>
      <c r="K161" s="2"/>
      <c r="L161" s="2"/>
      <c r="M161" s="2"/>
      <c r="N161" s="2"/>
      <c r="O161" s="2"/>
      <c r="P161" s="2"/>
      <c r="Q161" s="2"/>
      <c r="R161" s="2"/>
      <c r="S161" s="2"/>
      <c r="T161" s="2"/>
      <c r="U161" s="2"/>
      <c r="V161" s="2"/>
      <c r="W161" s="2"/>
      <c r="X161" s="2"/>
      <c r="Y161" s="2"/>
    </row>
    <row r="162" spans="1:25" ht="14.25" customHeight="1">
      <c r="A162" s="2"/>
      <c r="B162" s="2"/>
      <c r="C162" s="75"/>
      <c r="D162" s="2"/>
      <c r="E162" s="2"/>
      <c r="F162" s="2"/>
      <c r="G162" s="2"/>
      <c r="H162" s="2"/>
      <c r="I162" s="2"/>
      <c r="J162" s="2"/>
      <c r="K162" s="2"/>
      <c r="L162" s="2"/>
      <c r="M162" s="2"/>
      <c r="N162" s="2"/>
      <c r="O162" s="2"/>
      <c r="P162" s="2"/>
      <c r="Q162" s="2"/>
      <c r="R162" s="2"/>
      <c r="S162" s="2"/>
      <c r="T162" s="2"/>
      <c r="U162" s="2"/>
      <c r="V162" s="2"/>
      <c r="W162" s="2"/>
      <c r="X162" s="2"/>
      <c r="Y162" s="2"/>
    </row>
    <row r="163" spans="1:25" ht="14.25" customHeight="1">
      <c r="A163" s="2"/>
      <c r="B163" s="2"/>
      <c r="C163" s="75"/>
      <c r="D163" s="2"/>
      <c r="E163" s="2"/>
      <c r="F163" s="2"/>
      <c r="G163" s="2"/>
      <c r="H163" s="2"/>
      <c r="I163" s="2"/>
      <c r="J163" s="2"/>
      <c r="K163" s="2"/>
      <c r="L163" s="2"/>
      <c r="M163" s="2"/>
      <c r="N163" s="2"/>
      <c r="O163" s="2"/>
      <c r="P163" s="2"/>
      <c r="Q163" s="2"/>
      <c r="R163" s="2"/>
      <c r="S163" s="2"/>
      <c r="T163" s="2"/>
      <c r="U163" s="2"/>
      <c r="V163" s="2"/>
      <c r="W163" s="2"/>
      <c r="X163" s="2"/>
      <c r="Y163" s="2"/>
    </row>
    <row r="164" spans="1:25" ht="14.25" customHeight="1">
      <c r="A164" s="2"/>
      <c r="B164" s="2"/>
      <c r="C164" s="75"/>
      <c r="D164" s="2"/>
      <c r="E164" s="2"/>
      <c r="F164" s="2"/>
      <c r="G164" s="2"/>
      <c r="H164" s="2"/>
      <c r="I164" s="2"/>
      <c r="J164" s="2"/>
      <c r="K164" s="2"/>
      <c r="L164" s="2"/>
      <c r="M164" s="2"/>
      <c r="N164" s="2"/>
      <c r="O164" s="2"/>
      <c r="P164" s="2"/>
      <c r="Q164" s="2"/>
      <c r="R164" s="2"/>
      <c r="S164" s="2"/>
      <c r="T164" s="2"/>
      <c r="U164" s="2"/>
      <c r="V164" s="2"/>
      <c r="W164" s="2"/>
      <c r="X164" s="2"/>
      <c r="Y164" s="2"/>
    </row>
    <row r="165" spans="1:25" ht="14.25" customHeight="1">
      <c r="A165" s="2"/>
      <c r="B165" s="2"/>
      <c r="C165" s="75"/>
      <c r="D165" s="2"/>
      <c r="E165" s="2"/>
      <c r="F165" s="2"/>
      <c r="G165" s="2"/>
      <c r="H165" s="2"/>
      <c r="I165" s="2"/>
      <c r="J165" s="2"/>
      <c r="K165" s="2"/>
      <c r="L165" s="2"/>
      <c r="M165" s="2"/>
      <c r="N165" s="2"/>
      <c r="O165" s="2"/>
      <c r="P165" s="2"/>
      <c r="Q165" s="2"/>
      <c r="R165" s="2"/>
      <c r="S165" s="2"/>
      <c r="T165" s="2"/>
      <c r="U165" s="2"/>
      <c r="V165" s="2"/>
      <c r="W165" s="2"/>
      <c r="X165" s="2"/>
      <c r="Y165" s="2"/>
    </row>
    <row r="166" spans="1:25" ht="14.25" customHeight="1">
      <c r="A166" s="2"/>
      <c r="B166" s="2"/>
      <c r="C166" s="75"/>
      <c r="D166" s="2"/>
      <c r="E166" s="2"/>
      <c r="F166" s="2"/>
      <c r="G166" s="2"/>
      <c r="H166" s="2"/>
      <c r="I166" s="2"/>
      <c r="J166" s="2"/>
      <c r="K166" s="2"/>
      <c r="L166" s="2"/>
      <c r="M166" s="2"/>
      <c r="N166" s="2"/>
      <c r="O166" s="2"/>
      <c r="P166" s="2"/>
      <c r="Q166" s="2"/>
      <c r="R166" s="2"/>
      <c r="S166" s="2"/>
      <c r="T166" s="2"/>
      <c r="U166" s="2"/>
      <c r="V166" s="2"/>
      <c r="W166" s="2"/>
      <c r="X166" s="2"/>
      <c r="Y166" s="2"/>
    </row>
    <row r="167" spans="1:25" ht="14.25" customHeight="1">
      <c r="A167" s="2"/>
      <c r="B167" s="2"/>
      <c r="C167" s="75"/>
      <c r="D167" s="2"/>
      <c r="E167" s="2"/>
      <c r="F167" s="2"/>
      <c r="G167" s="2"/>
      <c r="H167" s="2"/>
      <c r="I167" s="2"/>
      <c r="J167" s="2"/>
      <c r="K167" s="2"/>
      <c r="L167" s="2"/>
      <c r="M167" s="2"/>
      <c r="N167" s="2"/>
      <c r="O167" s="2"/>
      <c r="P167" s="2"/>
      <c r="Q167" s="2"/>
      <c r="R167" s="2"/>
      <c r="S167" s="2"/>
      <c r="T167" s="2"/>
      <c r="U167" s="2"/>
      <c r="V167" s="2"/>
      <c r="W167" s="2"/>
      <c r="X167" s="2"/>
      <c r="Y167" s="2"/>
    </row>
    <row r="168" spans="1:25" ht="14.25" customHeight="1">
      <c r="A168" s="2"/>
      <c r="B168" s="2"/>
      <c r="C168" s="75"/>
      <c r="D168" s="2"/>
      <c r="E168" s="2"/>
      <c r="F168" s="2"/>
      <c r="G168" s="2"/>
      <c r="H168" s="2"/>
      <c r="I168" s="2"/>
      <c r="J168" s="2"/>
      <c r="K168" s="2"/>
      <c r="L168" s="2"/>
      <c r="M168" s="2"/>
      <c r="N168" s="2"/>
      <c r="O168" s="2"/>
      <c r="P168" s="2"/>
      <c r="Q168" s="2"/>
      <c r="R168" s="2"/>
      <c r="S168" s="2"/>
      <c r="T168" s="2"/>
      <c r="U168" s="2"/>
      <c r="V168" s="2"/>
      <c r="W168" s="2"/>
      <c r="X168" s="2"/>
      <c r="Y168" s="2"/>
    </row>
    <row r="169" spans="1:25" ht="14.25" customHeight="1">
      <c r="A169" s="2"/>
      <c r="B169" s="2"/>
      <c r="C169" s="75"/>
      <c r="D169" s="2"/>
      <c r="E169" s="2"/>
      <c r="F169" s="2"/>
      <c r="G169" s="2"/>
      <c r="H169" s="2"/>
      <c r="I169" s="2"/>
      <c r="J169" s="2"/>
      <c r="K169" s="2"/>
      <c r="L169" s="2"/>
      <c r="M169" s="2"/>
      <c r="N169" s="2"/>
      <c r="O169" s="2"/>
      <c r="P169" s="2"/>
      <c r="Q169" s="2"/>
      <c r="R169" s="2"/>
      <c r="S169" s="2"/>
      <c r="T169" s="2"/>
      <c r="U169" s="2"/>
      <c r="V169" s="2"/>
      <c r="W169" s="2"/>
      <c r="X169" s="2"/>
      <c r="Y169" s="2"/>
    </row>
    <row r="170" spans="1:25" ht="14.25" customHeight="1">
      <c r="A170" s="2"/>
      <c r="B170" s="2"/>
      <c r="C170" s="75"/>
      <c r="D170" s="2"/>
      <c r="E170" s="2"/>
      <c r="F170" s="2"/>
      <c r="G170" s="2"/>
      <c r="H170" s="2"/>
      <c r="I170" s="2"/>
      <c r="J170" s="2"/>
      <c r="K170" s="2"/>
      <c r="L170" s="2"/>
      <c r="M170" s="2"/>
      <c r="N170" s="2"/>
      <c r="O170" s="2"/>
      <c r="P170" s="2"/>
      <c r="Q170" s="2"/>
      <c r="R170" s="2"/>
      <c r="S170" s="2"/>
      <c r="T170" s="2"/>
      <c r="U170" s="2"/>
      <c r="V170" s="2"/>
      <c r="W170" s="2"/>
      <c r="X170" s="2"/>
      <c r="Y170" s="2"/>
    </row>
    <row r="171" spans="1:25" ht="14.25" customHeight="1">
      <c r="A171" s="2"/>
      <c r="B171" s="2"/>
      <c r="C171" s="75"/>
      <c r="D171" s="2"/>
      <c r="E171" s="2"/>
      <c r="F171" s="2"/>
      <c r="G171" s="2"/>
      <c r="H171" s="2"/>
      <c r="I171" s="2"/>
      <c r="J171" s="2"/>
      <c r="K171" s="2"/>
      <c r="L171" s="2"/>
      <c r="M171" s="2"/>
      <c r="N171" s="2"/>
      <c r="O171" s="2"/>
      <c r="P171" s="2"/>
      <c r="Q171" s="2"/>
      <c r="R171" s="2"/>
      <c r="S171" s="2"/>
      <c r="T171" s="2"/>
      <c r="U171" s="2"/>
      <c r="V171" s="2"/>
      <c r="W171" s="2"/>
      <c r="X171" s="2"/>
      <c r="Y171" s="2"/>
    </row>
    <row r="172" spans="1:25" ht="14.25" customHeight="1">
      <c r="A172" s="2"/>
      <c r="B172" s="2"/>
      <c r="C172" s="75"/>
      <c r="D172" s="2"/>
      <c r="E172" s="2"/>
      <c r="F172" s="2"/>
      <c r="G172" s="2"/>
      <c r="H172" s="2"/>
      <c r="I172" s="2"/>
      <c r="J172" s="2"/>
      <c r="K172" s="2"/>
      <c r="L172" s="2"/>
      <c r="M172" s="2"/>
      <c r="N172" s="2"/>
      <c r="O172" s="2"/>
      <c r="P172" s="2"/>
      <c r="Q172" s="2"/>
      <c r="R172" s="2"/>
      <c r="S172" s="2"/>
      <c r="T172" s="2"/>
      <c r="U172" s="2"/>
      <c r="V172" s="2"/>
      <c r="W172" s="2"/>
      <c r="X172" s="2"/>
      <c r="Y172" s="2"/>
    </row>
    <row r="173" spans="1:25" ht="14.25" customHeight="1">
      <c r="A173" s="2"/>
      <c r="B173" s="2"/>
      <c r="C173" s="75"/>
      <c r="D173" s="2"/>
      <c r="E173" s="2"/>
      <c r="F173" s="2"/>
      <c r="G173" s="2"/>
      <c r="H173" s="2"/>
      <c r="I173" s="2"/>
      <c r="J173" s="2"/>
      <c r="K173" s="2"/>
      <c r="L173" s="2"/>
      <c r="M173" s="2"/>
      <c r="N173" s="2"/>
      <c r="O173" s="2"/>
      <c r="P173" s="2"/>
      <c r="Q173" s="2"/>
      <c r="R173" s="2"/>
      <c r="S173" s="2"/>
      <c r="T173" s="2"/>
      <c r="U173" s="2"/>
      <c r="V173" s="2"/>
      <c r="W173" s="2"/>
      <c r="X173" s="2"/>
      <c r="Y173" s="2"/>
    </row>
    <row r="174" spans="1:25" ht="14.25" customHeight="1">
      <c r="A174" s="2"/>
      <c r="B174" s="2"/>
      <c r="C174" s="75"/>
      <c r="D174" s="2"/>
      <c r="E174" s="2"/>
      <c r="F174" s="2"/>
      <c r="G174" s="2"/>
      <c r="H174" s="2"/>
      <c r="I174" s="2"/>
      <c r="J174" s="2"/>
      <c r="K174" s="2"/>
      <c r="L174" s="2"/>
      <c r="M174" s="2"/>
      <c r="N174" s="2"/>
      <c r="O174" s="2"/>
      <c r="P174" s="2"/>
      <c r="Q174" s="2"/>
      <c r="R174" s="2"/>
      <c r="S174" s="2"/>
      <c r="T174" s="2"/>
      <c r="U174" s="2"/>
      <c r="V174" s="2"/>
      <c r="W174" s="2"/>
      <c r="X174" s="2"/>
      <c r="Y174" s="2"/>
    </row>
    <row r="175" spans="1:25" ht="14.25" customHeight="1">
      <c r="A175" s="2"/>
      <c r="B175" s="2"/>
      <c r="C175" s="75"/>
      <c r="D175" s="2"/>
      <c r="E175" s="2"/>
      <c r="F175" s="2"/>
      <c r="G175" s="2"/>
      <c r="H175" s="2"/>
      <c r="I175" s="2"/>
      <c r="J175" s="2"/>
      <c r="K175" s="2"/>
      <c r="L175" s="2"/>
      <c r="M175" s="2"/>
      <c r="N175" s="2"/>
      <c r="O175" s="2"/>
      <c r="P175" s="2"/>
      <c r="Q175" s="2"/>
      <c r="R175" s="2"/>
      <c r="S175" s="2"/>
      <c r="T175" s="2"/>
      <c r="U175" s="2"/>
      <c r="V175" s="2"/>
      <c r="W175" s="2"/>
      <c r="X175" s="2"/>
      <c r="Y175" s="2"/>
    </row>
    <row r="176" spans="1:25" ht="14.25" customHeight="1">
      <c r="A176" s="2"/>
      <c r="B176" s="2"/>
      <c r="C176" s="75"/>
      <c r="D176" s="2"/>
      <c r="E176" s="2"/>
      <c r="F176" s="2"/>
      <c r="G176" s="2"/>
      <c r="H176" s="2"/>
      <c r="I176" s="2"/>
      <c r="J176" s="2"/>
      <c r="K176" s="2"/>
      <c r="L176" s="2"/>
      <c r="M176" s="2"/>
      <c r="N176" s="2"/>
      <c r="O176" s="2"/>
      <c r="P176" s="2"/>
      <c r="Q176" s="2"/>
      <c r="R176" s="2"/>
      <c r="S176" s="2"/>
      <c r="T176" s="2"/>
      <c r="U176" s="2"/>
      <c r="V176" s="2"/>
      <c r="W176" s="2"/>
      <c r="X176" s="2"/>
      <c r="Y176" s="2"/>
    </row>
    <row r="177" spans="1:25" ht="14.25" customHeight="1">
      <c r="A177" s="2"/>
      <c r="B177" s="2"/>
      <c r="C177" s="75"/>
      <c r="D177" s="2"/>
      <c r="E177" s="2"/>
      <c r="F177" s="2"/>
      <c r="G177" s="2"/>
      <c r="H177" s="2"/>
      <c r="I177" s="2"/>
      <c r="J177" s="2"/>
      <c r="K177" s="2"/>
      <c r="L177" s="2"/>
      <c r="M177" s="2"/>
      <c r="N177" s="2"/>
      <c r="O177" s="2"/>
      <c r="P177" s="2"/>
      <c r="Q177" s="2"/>
      <c r="R177" s="2"/>
      <c r="S177" s="2"/>
      <c r="T177" s="2"/>
      <c r="U177" s="2"/>
      <c r="V177" s="2"/>
      <c r="W177" s="2"/>
      <c r="X177" s="2"/>
      <c r="Y177" s="2"/>
    </row>
    <row r="178" spans="1:25" ht="14.25" customHeight="1">
      <c r="A178" s="2"/>
      <c r="B178" s="2"/>
      <c r="C178" s="75"/>
      <c r="D178" s="2"/>
      <c r="E178" s="2"/>
      <c r="F178" s="2"/>
      <c r="G178" s="2"/>
      <c r="H178" s="2"/>
      <c r="I178" s="2"/>
      <c r="J178" s="2"/>
      <c r="K178" s="2"/>
      <c r="L178" s="2"/>
      <c r="M178" s="2"/>
      <c r="N178" s="2"/>
      <c r="O178" s="2"/>
      <c r="P178" s="2"/>
      <c r="Q178" s="2"/>
      <c r="R178" s="2"/>
      <c r="S178" s="2"/>
      <c r="T178" s="2"/>
      <c r="U178" s="2"/>
      <c r="V178" s="2"/>
      <c r="W178" s="2"/>
      <c r="X178" s="2"/>
      <c r="Y178" s="2"/>
    </row>
    <row r="179" spans="1:25" ht="14.25" customHeight="1">
      <c r="A179" s="2"/>
      <c r="B179" s="2"/>
      <c r="C179" s="75"/>
      <c r="D179" s="2"/>
      <c r="E179" s="2"/>
      <c r="F179" s="2"/>
      <c r="G179" s="2"/>
      <c r="H179" s="2"/>
      <c r="I179" s="2"/>
      <c r="J179" s="2"/>
      <c r="K179" s="2"/>
      <c r="L179" s="2"/>
      <c r="M179" s="2"/>
      <c r="N179" s="2"/>
      <c r="O179" s="2"/>
      <c r="P179" s="2"/>
      <c r="Q179" s="2"/>
      <c r="R179" s="2"/>
      <c r="S179" s="2"/>
      <c r="T179" s="2"/>
      <c r="U179" s="2"/>
      <c r="V179" s="2"/>
      <c r="W179" s="2"/>
      <c r="X179" s="2"/>
      <c r="Y179" s="2"/>
    </row>
    <row r="180" spans="1:25" ht="14.25" customHeight="1">
      <c r="A180" s="2"/>
      <c r="B180" s="2"/>
      <c r="C180" s="75"/>
      <c r="D180" s="2"/>
      <c r="E180" s="2"/>
      <c r="F180" s="2"/>
      <c r="G180" s="2"/>
      <c r="H180" s="2"/>
      <c r="I180" s="2"/>
      <c r="J180" s="2"/>
      <c r="K180" s="2"/>
      <c r="L180" s="2"/>
      <c r="M180" s="2"/>
      <c r="N180" s="2"/>
      <c r="O180" s="2"/>
      <c r="P180" s="2"/>
      <c r="Q180" s="2"/>
      <c r="R180" s="2"/>
      <c r="S180" s="2"/>
      <c r="T180" s="2"/>
      <c r="U180" s="2"/>
      <c r="V180" s="2"/>
      <c r="W180" s="2"/>
      <c r="X180" s="2"/>
      <c r="Y180" s="2"/>
    </row>
    <row r="181" spans="1:25" ht="14.25" customHeight="1">
      <c r="A181" s="2"/>
      <c r="B181" s="2"/>
      <c r="C181" s="75"/>
      <c r="D181" s="2"/>
      <c r="E181" s="2"/>
      <c r="F181" s="2"/>
      <c r="G181" s="2"/>
      <c r="H181" s="2"/>
      <c r="I181" s="2"/>
      <c r="J181" s="2"/>
      <c r="K181" s="2"/>
      <c r="L181" s="2"/>
      <c r="M181" s="2"/>
      <c r="N181" s="2"/>
      <c r="O181" s="2"/>
      <c r="P181" s="2"/>
      <c r="Q181" s="2"/>
      <c r="R181" s="2"/>
      <c r="S181" s="2"/>
      <c r="T181" s="2"/>
      <c r="U181" s="2"/>
      <c r="V181" s="2"/>
      <c r="W181" s="2"/>
      <c r="X181" s="2"/>
      <c r="Y181" s="2"/>
    </row>
    <row r="182" spans="1:25" ht="14.25" customHeight="1">
      <c r="A182" s="2"/>
      <c r="B182" s="2"/>
      <c r="C182" s="75"/>
      <c r="D182" s="2"/>
      <c r="E182" s="2"/>
      <c r="F182" s="2"/>
      <c r="G182" s="2"/>
      <c r="H182" s="2"/>
      <c r="I182" s="2"/>
      <c r="J182" s="2"/>
      <c r="K182" s="2"/>
      <c r="L182" s="2"/>
      <c r="M182" s="2"/>
      <c r="N182" s="2"/>
      <c r="O182" s="2"/>
      <c r="P182" s="2"/>
      <c r="Q182" s="2"/>
      <c r="R182" s="2"/>
      <c r="S182" s="2"/>
      <c r="T182" s="2"/>
      <c r="U182" s="2"/>
      <c r="V182" s="2"/>
      <c r="W182" s="2"/>
      <c r="X182" s="2"/>
      <c r="Y182" s="2"/>
    </row>
    <row r="183" spans="1:25" ht="14.25" customHeight="1">
      <c r="A183" s="2"/>
      <c r="B183" s="2"/>
      <c r="C183" s="75"/>
      <c r="D183" s="2"/>
      <c r="E183" s="2"/>
      <c r="F183" s="2"/>
      <c r="G183" s="2"/>
      <c r="H183" s="2"/>
      <c r="I183" s="2"/>
      <c r="J183" s="2"/>
      <c r="K183" s="2"/>
      <c r="L183" s="2"/>
      <c r="M183" s="2"/>
      <c r="N183" s="2"/>
      <c r="O183" s="2"/>
      <c r="P183" s="2"/>
      <c r="Q183" s="2"/>
      <c r="R183" s="2"/>
      <c r="S183" s="2"/>
      <c r="T183" s="2"/>
      <c r="U183" s="2"/>
      <c r="V183" s="2"/>
      <c r="W183" s="2"/>
      <c r="X183" s="2"/>
      <c r="Y183" s="2"/>
    </row>
    <row r="184" spans="1:25" ht="14.25" customHeight="1">
      <c r="A184" s="2"/>
      <c r="B184" s="2"/>
      <c r="C184" s="75"/>
      <c r="D184" s="2"/>
      <c r="E184" s="2"/>
      <c r="F184" s="2"/>
      <c r="G184" s="2"/>
      <c r="H184" s="2"/>
      <c r="I184" s="2"/>
      <c r="J184" s="2"/>
      <c r="K184" s="2"/>
      <c r="L184" s="2"/>
      <c r="M184" s="2"/>
      <c r="N184" s="2"/>
      <c r="O184" s="2"/>
      <c r="P184" s="2"/>
      <c r="Q184" s="2"/>
      <c r="R184" s="2"/>
      <c r="S184" s="2"/>
      <c r="T184" s="2"/>
      <c r="U184" s="2"/>
      <c r="V184" s="2"/>
      <c r="W184" s="2"/>
      <c r="X184" s="2"/>
      <c r="Y184" s="2"/>
    </row>
    <row r="185" spans="1:25" ht="14.25" customHeight="1">
      <c r="A185" s="2"/>
      <c r="B185" s="2"/>
      <c r="C185" s="75"/>
      <c r="D185" s="2"/>
      <c r="E185" s="2"/>
      <c r="F185" s="2"/>
      <c r="G185" s="2"/>
      <c r="H185" s="2"/>
      <c r="I185" s="2"/>
      <c r="J185" s="2"/>
      <c r="K185" s="2"/>
      <c r="L185" s="2"/>
      <c r="M185" s="2"/>
      <c r="N185" s="2"/>
      <c r="O185" s="2"/>
      <c r="P185" s="2"/>
      <c r="Q185" s="2"/>
      <c r="R185" s="2"/>
      <c r="S185" s="2"/>
      <c r="T185" s="2"/>
      <c r="U185" s="2"/>
      <c r="V185" s="2"/>
      <c r="W185" s="2"/>
      <c r="X185" s="2"/>
      <c r="Y185" s="2"/>
    </row>
    <row r="186" spans="1:25" ht="14.25" customHeight="1">
      <c r="A186" s="2"/>
      <c r="B186" s="2"/>
      <c r="C186" s="75"/>
      <c r="D186" s="2"/>
      <c r="E186" s="2"/>
      <c r="F186" s="2"/>
      <c r="G186" s="2"/>
      <c r="H186" s="2"/>
      <c r="I186" s="2"/>
      <c r="J186" s="2"/>
      <c r="K186" s="2"/>
      <c r="L186" s="2"/>
      <c r="M186" s="2"/>
      <c r="N186" s="2"/>
      <c r="O186" s="2"/>
      <c r="P186" s="2"/>
      <c r="Q186" s="2"/>
      <c r="R186" s="2"/>
      <c r="S186" s="2"/>
      <c r="T186" s="2"/>
      <c r="U186" s="2"/>
      <c r="V186" s="2"/>
      <c r="W186" s="2"/>
      <c r="X186" s="2"/>
      <c r="Y186" s="2"/>
    </row>
    <row r="187" spans="1:25" ht="14.25" customHeight="1">
      <c r="A187" s="2"/>
      <c r="B187" s="2"/>
      <c r="C187" s="75"/>
      <c r="D187" s="2"/>
      <c r="E187" s="2"/>
      <c r="F187" s="2"/>
      <c r="G187" s="2"/>
      <c r="H187" s="2"/>
      <c r="I187" s="2"/>
      <c r="J187" s="2"/>
      <c r="K187" s="2"/>
      <c r="L187" s="2"/>
      <c r="M187" s="2"/>
      <c r="N187" s="2"/>
      <c r="O187" s="2"/>
      <c r="P187" s="2"/>
      <c r="Q187" s="2"/>
      <c r="R187" s="2"/>
      <c r="S187" s="2"/>
      <c r="T187" s="2"/>
      <c r="U187" s="2"/>
      <c r="V187" s="2"/>
      <c r="W187" s="2"/>
      <c r="X187" s="2"/>
      <c r="Y187" s="2"/>
    </row>
    <row r="188" spans="1:25" ht="14.25" customHeight="1">
      <c r="A188" s="2"/>
      <c r="B188" s="2"/>
      <c r="C188" s="75"/>
      <c r="D188" s="2"/>
      <c r="E188" s="2"/>
      <c r="F188" s="2"/>
      <c r="G188" s="2"/>
      <c r="H188" s="2"/>
      <c r="I188" s="2"/>
      <c r="J188" s="2"/>
      <c r="K188" s="2"/>
      <c r="L188" s="2"/>
      <c r="M188" s="2"/>
      <c r="N188" s="2"/>
      <c r="O188" s="2"/>
      <c r="P188" s="2"/>
      <c r="Q188" s="2"/>
      <c r="R188" s="2"/>
      <c r="S188" s="2"/>
      <c r="T188" s="2"/>
      <c r="U188" s="2"/>
      <c r="V188" s="2"/>
      <c r="W188" s="2"/>
      <c r="X188" s="2"/>
      <c r="Y188" s="2"/>
    </row>
    <row r="189" spans="1:25" ht="14.25" customHeight="1">
      <c r="A189" s="2"/>
      <c r="B189" s="2"/>
      <c r="C189" s="75"/>
      <c r="D189" s="2"/>
      <c r="E189" s="2"/>
      <c r="F189" s="2"/>
      <c r="G189" s="2"/>
      <c r="H189" s="2"/>
      <c r="I189" s="2"/>
      <c r="J189" s="2"/>
      <c r="K189" s="2"/>
      <c r="L189" s="2"/>
      <c r="M189" s="2"/>
      <c r="N189" s="2"/>
      <c r="O189" s="2"/>
      <c r="P189" s="2"/>
      <c r="Q189" s="2"/>
      <c r="R189" s="2"/>
      <c r="S189" s="2"/>
      <c r="T189" s="2"/>
      <c r="U189" s="2"/>
      <c r="V189" s="2"/>
      <c r="W189" s="2"/>
      <c r="X189" s="2"/>
      <c r="Y189" s="2"/>
    </row>
    <row r="190" spans="1:25" ht="14.25" customHeight="1">
      <c r="A190" s="2"/>
      <c r="B190" s="2"/>
      <c r="C190" s="75"/>
      <c r="D190" s="2"/>
      <c r="E190" s="2"/>
      <c r="F190" s="2"/>
      <c r="G190" s="2"/>
      <c r="H190" s="2"/>
      <c r="I190" s="2"/>
      <c r="J190" s="2"/>
      <c r="K190" s="2"/>
      <c r="L190" s="2"/>
      <c r="M190" s="2"/>
      <c r="N190" s="2"/>
      <c r="O190" s="2"/>
      <c r="P190" s="2"/>
      <c r="Q190" s="2"/>
      <c r="R190" s="2"/>
      <c r="S190" s="2"/>
      <c r="T190" s="2"/>
      <c r="U190" s="2"/>
      <c r="V190" s="2"/>
      <c r="W190" s="2"/>
      <c r="X190" s="2"/>
      <c r="Y190" s="2"/>
    </row>
    <row r="191" spans="1:25" ht="14.25" customHeight="1">
      <c r="A191" s="2"/>
      <c r="B191" s="2"/>
      <c r="C191" s="75"/>
      <c r="D191" s="2"/>
      <c r="E191" s="2"/>
      <c r="F191" s="2"/>
      <c r="G191" s="2"/>
      <c r="H191" s="2"/>
      <c r="I191" s="2"/>
      <c r="J191" s="2"/>
      <c r="K191" s="2"/>
      <c r="L191" s="2"/>
      <c r="M191" s="2"/>
      <c r="N191" s="2"/>
      <c r="O191" s="2"/>
      <c r="P191" s="2"/>
      <c r="Q191" s="2"/>
      <c r="R191" s="2"/>
      <c r="S191" s="2"/>
      <c r="T191" s="2"/>
      <c r="U191" s="2"/>
      <c r="V191" s="2"/>
      <c r="W191" s="2"/>
      <c r="X191" s="2"/>
      <c r="Y191" s="2"/>
    </row>
    <row r="192" spans="1:25" ht="14.25" customHeight="1">
      <c r="A192" s="2"/>
      <c r="B192" s="2"/>
      <c r="C192" s="75"/>
      <c r="D192" s="2"/>
      <c r="E192" s="2"/>
      <c r="F192" s="2"/>
      <c r="G192" s="2"/>
      <c r="H192" s="2"/>
      <c r="I192" s="2"/>
      <c r="J192" s="2"/>
      <c r="K192" s="2"/>
      <c r="L192" s="2"/>
      <c r="M192" s="2"/>
      <c r="N192" s="2"/>
      <c r="O192" s="2"/>
      <c r="P192" s="2"/>
      <c r="Q192" s="2"/>
      <c r="R192" s="2"/>
      <c r="S192" s="2"/>
      <c r="T192" s="2"/>
      <c r="U192" s="2"/>
      <c r="V192" s="2"/>
      <c r="W192" s="2"/>
      <c r="X192" s="2"/>
      <c r="Y192" s="2"/>
    </row>
    <row r="193" spans="1:25" ht="14.25" customHeight="1">
      <c r="A193" s="2"/>
      <c r="B193" s="2"/>
      <c r="C193" s="75"/>
      <c r="D193" s="2"/>
      <c r="E193" s="2"/>
      <c r="F193" s="2"/>
      <c r="G193" s="2"/>
      <c r="H193" s="2"/>
      <c r="I193" s="2"/>
      <c r="J193" s="2"/>
      <c r="K193" s="2"/>
      <c r="L193" s="2"/>
      <c r="M193" s="2"/>
      <c r="N193" s="2"/>
      <c r="O193" s="2"/>
      <c r="P193" s="2"/>
      <c r="Q193" s="2"/>
      <c r="R193" s="2"/>
      <c r="S193" s="2"/>
      <c r="T193" s="2"/>
      <c r="U193" s="2"/>
      <c r="V193" s="2"/>
      <c r="W193" s="2"/>
      <c r="X193" s="2"/>
      <c r="Y193" s="2"/>
    </row>
    <row r="194" spans="1:25" ht="14.25" customHeight="1">
      <c r="A194" s="2"/>
      <c r="B194" s="2"/>
      <c r="C194" s="75"/>
      <c r="D194" s="2"/>
      <c r="E194" s="2"/>
      <c r="F194" s="2"/>
      <c r="G194" s="2"/>
      <c r="H194" s="2"/>
      <c r="I194" s="2"/>
      <c r="J194" s="2"/>
      <c r="K194" s="2"/>
      <c r="L194" s="2"/>
      <c r="M194" s="2"/>
      <c r="N194" s="2"/>
      <c r="O194" s="2"/>
      <c r="P194" s="2"/>
      <c r="Q194" s="2"/>
      <c r="R194" s="2"/>
      <c r="S194" s="2"/>
      <c r="T194" s="2"/>
      <c r="U194" s="2"/>
      <c r="V194" s="2"/>
      <c r="W194" s="2"/>
      <c r="X194" s="2"/>
      <c r="Y194" s="2"/>
    </row>
    <row r="195" spans="1:25" ht="14.25" customHeight="1">
      <c r="A195" s="2"/>
      <c r="B195" s="2"/>
      <c r="C195" s="75"/>
      <c r="D195" s="2"/>
      <c r="E195" s="2"/>
      <c r="F195" s="2"/>
      <c r="G195" s="2"/>
      <c r="H195" s="2"/>
      <c r="I195" s="2"/>
      <c r="J195" s="2"/>
      <c r="K195" s="2"/>
      <c r="L195" s="2"/>
      <c r="M195" s="2"/>
      <c r="N195" s="2"/>
      <c r="O195" s="2"/>
      <c r="P195" s="2"/>
      <c r="Q195" s="2"/>
      <c r="R195" s="2"/>
      <c r="S195" s="2"/>
      <c r="T195" s="2"/>
      <c r="U195" s="2"/>
      <c r="V195" s="2"/>
      <c r="W195" s="2"/>
      <c r="X195" s="2"/>
      <c r="Y195" s="2"/>
    </row>
    <row r="196" spans="1:25" ht="14.25" customHeight="1">
      <c r="A196" s="2"/>
      <c r="B196" s="2"/>
      <c r="C196" s="75"/>
      <c r="D196" s="2"/>
      <c r="E196" s="2"/>
      <c r="F196" s="2"/>
      <c r="G196" s="2"/>
      <c r="H196" s="2"/>
      <c r="I196" s="2"/>
      <c r="J196" s="2"/>
      <c r="K196" s="2"/>
      <c r="L196" s="2"/>
      <c r="M196" s="2"/>
      <c r="N196" s="2"/>
      <c r="O196" s="2"/>
      <c r="P196" s="2"/>
      <c r="Q196" s="2"/>
      <c r="R196" s="2"/>
      <c r="S196" s="2"/>
      <c r="T196" s="2"/>
      <c r="U196" s="2"/>
      <c r="V196" s="2"/>
      <c r="W196" s="2"/>
      <c r="X196" s="2"/>
      <c r="Y196" s="2"/>
    </row>
    <row r="197" spans="1:25" ht="14.25" customHeight="1">
      <c r="A197" s="2"/>
      <c r="B197" s="2"/>
      <c r="C197" s="75"/>
      <c r="D197" s="2"/>
      <c r="E197" s="2"/>
      <c r="F197" s="2"/>
      <c r="G197" s="2"/>
      <c r="H197" s="2"/>
      <c r="I197" s="2"/>
      <c r="J197" s="2"/>
      <c r="K197" s="2"/>
      <c r="L197" s="2"/>
      <c r="M197" s="2"/>
      <c r="N197" s="2"/>
      <c r="O197" s="2"/>
      <c r="P197" s="2"/>
      <c r="Q197" s="2"/>
      <c r="R197" s="2"/>
      <c r="S197" s="2"/>
      <c r="T197" s="2"/>
      <c r="U197" s="2"/>
      <c r="V197" s="2"/>
      <c r="W197" s="2"/>
      <c r="X197" s="2"/>
      <c r="Y197" s="2"/>
    </row>
    <row r="198" spans="1:25" ht="14.25" customHeight="1">
      <c r="A198" s="2"/>
      <c r="B198" s="2"/>
      <c r="C198" s="75"/>
      <c r="D198" s="2"/>
      <c r="E198" s="2"/>
      <c r="F198" s="2"/>
      <c r="G198" s="2"/>
      <c r="H198" s="2"/>
      <c r="I198" s="2"/>
      <c r="J198" s="2"/>
      <c r="K198" s="2"/>
      <c r="L198" s="2"/>
      <c r="M198" s="2"/>
      <c r="N198" s="2"/>
      <c r="O198" s="2"/>
      <c r="P198" s="2"/>
      <c r="Q198" s="2"/>
      <c r="R198" s="2"/>
      <c r="S198" s="2"/>
      <c r="T198" s="2"/>
      <c r="U198" s="2"/>
      <c r="V198" s="2"/>
      <c r="W198" s="2"/>
      <c r="X198" s="2"/>
      <c r="Y198" s="2"/>
    </row>
    <row r="199" spans="1:25" ht="14.25" customHeight="1">
      <c r="A199" s="2"/>
      <c r="B199" s="2"/>
      <c r="C199" s="75"/>
      <c r="D199" s="2"/>
      <c r="E199" s="2"/>
      <c r="F199" s="2"/>
      <c r="G199" s="2"/>
      <c r="H199" s="2"/>
      <c r="I199" s="2"/>
      <c r="J199" s="2"/>
      <c r="K199" s="2"/>
      <c r="L199" s="2"/>
      <c r="M199" s="2"/>
      <c r="N199" s="2"/>
      <c r="O199" s="2"/>
      <c r="P199" s="2"/>
      <c r="Q199" s="2"/>
      <c r="R199" s="2"/>
      <c r="S199" s="2"/>
      <c r="T199" s="2"/>
      <c r="U199" s="2"/>
      <c r="V199" s="2"/>
      <c r="W199" s="2"/>
      <c r="X199" s="2"/>
      <c r="Y199" s="2"/>
    </row>
    <row r="200" spans="1:25" ht="14.25" customHeight="1">
      <c r="A200" s="2"/>
      <c r="B200" s="2"/>
      <c r="C200" s="75"/>
      <c r="D200" s="2"/>
      <c r="E200" s="2"/>
      <c r="F200" s="2"/>
      <c r="G200" s="2"/>
      <c r="H200" s="2"/>
      <c r="I200" s="2"/>
      <c r="J200" s="2"/>
      <c r="K200" s="2"/>
      <c r="L200" s="2"/>
      <c r="M200" s="2"/>
      <c r="N200" s="2"/>
      <c r="O200" s="2"/>
      <c r="P200" s="2"/>
      <c r="Q200" s="2"/>
      <c r="R200" s="2"/>
      <c r="S200" s="2"/>
      <c r="T200" s="2"/>
      <c r="U200" s="2"/>
      <c r="V200" s="2"/>
      <c r="W200" s="2"/>
      <c r="X200" s="2"/>
      <c r="Y200" s="2"/>
    </row>
    <row r="201" spans="1:25" ht="14.25" customHeight="1">
      <c r="A201" s="2"/>
      <c r="B201" s="2"/>
      <c r="C201" s="75"/>
      <c r="D201" s="2"/>
      <c r="E201" s="2"/>
      <c r="F201" s="2"/>
      <c r="G201" s="2"/>
      <c r="H201" s="2"/>
      <c r="I201" s="2"/>
      <c r="J201" s="2"/>
      <c r="K201" s="2"/>
      <c r="L201" s="2"/>
      <c r="M201" s="2"/>
      <c r="N201" s="2"/>
      <c r="O201" s="2"/>
      <c r="P201" s="2"/>
      <c r="Q201" s="2"/>
      <c r="R201" s="2"/>
      <c r="S201" s="2"/>
      <c r="T201" s="2"/>
      <c r="U201" s="2"/>
      <c r="V201" s="2"/>
      <c r="W201" s="2"/>
      <c r="X201" s="2"/>
      <c r="Y201" s="2"/>
    </row>
    <row r="202" spans="1:25" ht="14.25" customHeight="1">
      <c r="A202" s="2"/>
      <c r="B202" s="2"/>
      <c r="C202" s="75"/>
      <c r="D202" s="2"/>
      <c r="E202" s="2"/>
      <c r="F202" s="2"/>
      <c r="G202" s="2"/>
      <c r="H202" s="2"/>
      <c r="I202" s="2"/>
      <c r="J202" s="2"/>
      <c r="K202" s="2"/>
      <c r="L202" s="2"/>
      <c r="M202" s="2"/>
      <c r="N202" s="2"/>
      <c r="O202" s="2"/>
      <c r="P202" s="2"/>
      <c r="Q202" s="2"/>
      <c r="R202" s="2"/>
      <c r="S202" s="2"/>
      <c r="T202" s="2"/>
      <c r="U202" s="2"/>
      <c r="V202" s="2"/>
      <c r="W202" s="2"/>
      <c r="X202" s="2"/>
      <c r="Y202" s="2"/>
    </row>
    <row r="203" spans="1:25" ht="14.25" customHeight="1">
      <c r="A203" s="2"/>
      <c r="B203" s="2"/>
      <c r="C203" s="75"/>
      <c r="D203" s="2"/>
      <c r="E203" s="2"/>
      <c r="F203" s="2"/>
      <c r="G203" s="2"/>
      <c r="H203" s="2"/>
      <c r="I203" s="2"/>
      <c r="J203" s="2"/>
      <c r="K203" s="2"/>
      <c r="L203" s="2"/>
      <c r="M203" s="2"/>
      <c r="N203" s="2"/>
      <c r="O203" s="2"/>
      <c r="P203" s="2"/>
      <c r="Q203" s="2"/>
      <c r="R203" s="2"/>
      <c r="S203" s="2"/>
      <c r="T203" s="2"/>
      <c r="U203" s="2"/>
      <c r="V203" s="2"/>
      <c r="W203" s="2"/>
      <c r="X203" s="2"/>
      <c r="Y203" s="2"/>
    </row>
    <row r="204" spans="1:25" ht="14.25" customHeight="1">
      <c r="A204" s="2"/>
      <c r="B204" s="2"/>
      <c r="C204" s="75"/>
      <c r="D204" s="2"/>
      <c r="E204" s="2"/>
      <c r="F204" s="2"/>
      <c r="G204" s="2"/>
      <c r="H204" s="2"/>
      <c r="I204" s="2"/>
      <c r="J204" s="2"/>
      <c r="K204" s="2"/>
      <c r="L204" s="2"/>
      <c r="M204" s="2"/>
      <c r="N204" s="2"/>
      <c r="O204" s="2"/>
      <c r="P204" s="2"/>
      <c r="Q204" s="2"/>
      <c r="R204" s="2"/>
      <c r="S204" s="2"/>
      <c r="T204" s="2"/>
      <c r="U204" s="2"/>
      <c r="V204" s="2"/>
      <c r="W204" s="2"/>
      <c r="X204" s="2"/>
      <c r="Y204" s="2"/>
    </row>
    <row r="205" spans="1:25" ht="14.25" customHeight="1">
      <c r="A205" s="2"/>
      <c r="B205" s="2"/>
      <c r="C205" s="75"/>
      <c r="D205" s="2"/>
      <c r="E205" s="2"/>
      <c r="F205" s="2"/>
      <c r="G205" s="2"/>
      <c r="H205" s="2"/>
      <c r="I205" s="2"/>
      <c r="J205" s="2"/>
      <c r="K205" s="2"/>
      <c r="L205" s="2"/>
      <c r="M205" s="2"/>
      <c r="N205" s="2"/>
      <c r="O205" s="2"/>
      <c r="P205" s="2"/>
      <c r="Q205" s="2"/>
      <c r="R205" s="2"/>
      <c r="S205" s="2"/>
      <c r="T205" s="2"/>
      <c r="U205" s="2"/>
      <c r="V205" s="2"/>
      <c r="W205" s="2"/>
      <c r="X205" s="2"/>
      <c r="Y205" s="2"/>
    </row>
    <row r="206" spans="1:25" ht="14.25" customHeight="1">
      <c r="A206" s="2"/>
      <c r="B206" s="2"/>
      <c r="C206" s="75"/>
      <c r="D206" s="2"/>
      <c r="E206" s="2"/>
      <c r="F206" s="2"/>
      <c r="G206" s="2"/>
      <c r="H206" s="2"/>
      <c r="I206" s="2"/>
      <c r="J206" s="2"/>
      <c r="K206" s="2"/>
      <c r="L206" s="2"/>
      <c r="M206" s="2"/>
      <c r="N206" s="2"/>
      <c r="O206" s="2"/>
      <c r="P206" s="2"/>
      <c r="Q206" s="2"/>
      <c r="R206" s="2"/>
      <c r="S206" s="2"/>
      <c r="T206" s="2"/>
      <c r="U206" s="2"/>
      <c r="V206" s="2"/>
      <c r="W206" s="2"/>
      <c r="X206" s="2"/>
      <c r="Y206" s="2"/>
    </row>
    <row r="207" spans="1:25" ht="14.25" customHeight="1">
      <c r="A207" s="2"/>
      <c r="B207" s="2"/>
      <c r="C207" s="75"/>
      <c r="D207" s="2"/>
      <c r="E207" s="2"/>
      <c r="F207" s="2"/>
      <c r="G207" s="2"/>
      <c r="H207" s="2"/>
      <c r="I207" s="2"/>
      <c r="J207" s="2"/>
      <c r="K207" s="2"/>
      <c r="L207" s="2"/>
      <c r="M207" s="2"/>
      <c r="N207" s="2"/>
      <c r="O207" s="2"/>
      <c r="P207" s="2"/>
      <c r="Q207" s="2"/>
      <c r="R207" s="2"/>
      <c r="S207" s="2"/>
      <c r="T207" s="2"/>
      <c r="U207" s="2"/>
      <c r="V207" s="2"/>
      <c r="W207" s="2"/>
      <c r="X207" s="2"/>
      <c r="Y207" s="2"/>
    </row>
    <row r="208" spans="1:25" ht="14.25" customHeight="1">
      <c r="A208" s="2"/>
      <c r="B208" s="2"/>
      <c r="C208" s="75"/>
      <c r="D208" s="2"/>
      <c r="E208" s="2"/>
      <c r="F208" s="2"/>
      <c r="G208" s="2"/>
      <c r="H208" s="2"/>
      <c r="I208" s="2"/>
      <c r="J208" s="2"/>
      <c r="K208" s="2"/>
      <c r="L208" s="2"/>
      <c r="M208" s="2"/>
      <c r="N208" s="2"/>
      <c r="O208" s="2"/>
      <c r="P208" s="2"/>
      <c r="Q208" s="2"/>
      <c r="R208" s="2"/>
      <c r="S208" s="2"/>
      <c r="T208" s="2"/>
      <c r="U208" s="2"/>
      <c r="V208" s="2"/>
      <c r="W208" s="2"/>
      <c r="X208" s="2"/>
      <c r="Y208" s="2"/>
    </row>
    <row r="209" spans="1:25" ht="14.25" customHeight="1">
      <c r="A209" s="2"/>
      <c r="B209" s="2"/>
      <c r="C209" s="75"/>
      <c r="D209" s="2"/>
      <c r="E209" s="2"/>
      <c r="F209" s="2"/>
      <c r="G209" s="2"/>
      <c r="H209" s="2"/>
      <c r="I209" s="2"/>
      <c r="J209" s="2"/>
      <c r="K209" s="2"/>
      <c r="L209" s="2"/>
      <c r="M209" s="2"/>
      <c r="N209" s="2"/>
      <c r="O209" s="2"/>
      <c r="P209" s="2"/>
      <c r="Q209" s="2"/>
      <c r="R209" s="2"/>
      <c r="S209" s="2"/>
      <c r="T209" s="2"/>
      <c r="U209" s="2"/>
      <c r="V209" s="2"/>
      <c r="W209" s="2"/>
      <c r="X209" s="2"/>
      <c r="Y209" s="2"/>
    </row>
    <row r="210" spans="1:25" ht="14.25" customHeight="1">
      <c r="A210" s="2"/>
      <c r="B210" s="2"/>
      <c r="C210" s="75"/>
      <c r="D210" s="2"/>
      <c r="E210" s="2"/>
      <c r="F210" s="2"/>
      <c r="G210" s="2"/>
      <c r="H210" s="2"/>
      <c r="I210" s="2"/>
      <c r="J210" s="2"/>
      <c r="K210" s="2"/>
      <c r="L210" s="2"/>
      <c r="M210" s="2"/>
      <c r="N210" s="2"/>
      <c r="O210" s="2"/>
      <c r="P210" s="2"/>
      <c r="Q210" s="2"/>
      <c r="R210" s="2"/>
      <c r="S210" s="2"/>
      <c r="T210" s="2"/>
      <c r="U210" s="2"/>
      <c r="V210" s="2"/>
      <c r="W210" s="2"/>
      <c r="X210" s="2"/>
      <c r="Y210" s="2"/>
    </row>
    <row r="211" spans="1:25" ht="14.25" customHeight="1">
      <c r="A211" s="2"/>
      <c r="B211" s="2"/>
      <c r="C211" s="75"/>
      <c r="D211" s="2"/>
      <c r="E211" s="2"/>
      <c r="F211" s="2"/>
      <c r="G211" s="2"/>
      <c r="H211" s="2"/>
      <c r="I211" s="2"/>
      <c r="J211" s="2"/>
      <c r="K211" s="2"/>
      <c r="L211" s="2"/>
      <c r="M211" s="2"/>
      <c r="N211" s="2"/>
      <c r="O211" s="2"/>
      <c r="P211" s="2"/>
      <c r="Q211" s="2"/>
      <c r="R211" s="2"/>
      <c r="S211" s="2"/>
      <c r="T211" s="2"/>
      <c r="U211" s="2"/>
      <c r="V211" s="2"/>
      <c r="W211" s="2"/>
      <c r="X211" s="2"/>
      <c r="Y211" s="2"/>
    </row>
    <row r="212" spans="1:25" ht="14.25" customHeight="1">
      <c r="A212" s="2"/>
      <c r="B212" s="2"/>
      <c r="C212" s="75"/>
      <c r="D212" s="2"/>
      <c r="E212" s="2"/>
      <c r="F212" s="2"/>
      <c r="G212" s="2"/>
      <c r="H212" s="2"/>
      <c r="I212" s="2"/>
      <c r="J212" s="2"/>
      <c r="K212" s="2"/>
      <c r="L212" s="2"/>
      <c r="M212" s="2"/>
      <c r="N212" s="2"/>
      <c r="O212" s="2"/>
      <c r="P212" s="2"/>
      <c r="Q212" s="2"/>
      <c r="R212" s="2"/>
      <c r="S212" s="2"/>
      <c r="T212" s="2"/>
      <c r="U212" s="2"/>
      <c r="V212" s="2"/>
      <c r="W212" s="2"/>
      <c r="X212" s="2"/>
      <c r="Y212" s="2"/>
    </row>
    <row r="213" spans="1:25" ht="14.25" customHeight="1">
      <c r="A213" s="2"/>
      <c r="B213" s="2"/>
      <c r="C213" s="75"/>
      <c r="D213" s="2"/>
      <c r="E213" s="2"/>
      <c r="F213" s="2"/>
      <c r="G213" s="2"/>
      <c r="H213" s="2"/>
      <c r="I213" s="2"/>
      <c r="J213" s="2"/>
      <c r="K213" s="2"/>
      <c r="L213" s="2"/>
      <c r="M213" s="2"/>
      <c r="N213" s="2"/>
      <c r="O213" s="2"/>
      <c r="P213" s="2"/>
      <c r="Q213" s="2"/>
      <c r="R213" s="2"/>
      <c r="S213" s="2"/>
      <c r="T213" s="2"/>
      <c r="U213" s="2"/>
      <c r="V213" s="2"/>
      <c r="W213" s="2"/>
      <c r="X213" s="2"/>
      <c r="Y213" s="2"/>
    </row>
    <row r="214" spans="1:25" ht="14.25" customHeight="1">
      <c r="A214" s="2"/>
      <c r="B214" s="2"/>
      <c r="C214" s="75"/>
      <c r="D214" s="2"/>
      <c r="E214" s="2"/>
      <c r="F214" s="2"/>
      <c r="G214" s="2"/>
      <c r="H214" s="2"/>
      <c r="I214" s="2"/>
      <c r="J214" s="2"/>
      <c r="K214" s="2"/>
      <c r="L214" s="2"/>
      <c r="M214" s="2"/>
      <c r="N214" s="2"/>
      <c r="O214" s="2"/>
      <c r="P214" s="2"/>
      <c r="Q214" s="2"/>
      <c r="R214" s="2"/>
      <c r="S214" s="2"/>
      <c r="T214" s="2"/>
      <c r="U214" s="2"/>
      <c r="V214" s="2"/>
      <c r="W214" s="2"/>
      <c r="X214" s="2"/>
      <c r="Y214" s="2"/>
    </row>
    <row r="215" spans="1:25" ht="14.25" customHeight="1">
      <c r="A215" s="2"/>
      <c r="B215" s="2"/>
      <c r="C215" s="75"/>
      <c r="D215" s="2"/>
      <c r="E215" s="2"/>
      <c r="F215" s="2"/>
      <c r="G215" s="2"/>
      <c r="H215" s="2"/>
      <c r="I215" s="2"/>
      <c r="J215" s="2"/>
      <c r="K215" s="2"/>
      <c r="L215" s="2"/>
      <c r="M215" s="2"/>
      <c r="N215" s="2"/>
      <c r="O215" s="2"/>
      <c r="P215" s="2"/>
      <c r="Q215" s="2"/>
      <c r="R215" s="2"/>
      <c r="S215" s="2"/>
      <c r="T215" s="2"/>
      <c r="U215" s="2"/>
      <c r="V215" s="2"/>
      <c r="W215" s="2"/>
      <c r="X215" s="2"/>
      <c r="Y215" s="2"/>
    </row>
    <row r="216" spans="1:25" ht="14.25" customHeight="1">
      <c r="A216" s="2"/>
      <c r="B216" s="2"/>
      <c r="C216" s="75"/>
      <c r="D216" s="2"/>
      <c r="E216" s="2"/>
      <c r="F216" s="2"/>
      <c r="G216" s="2"/>
      <c r="H216" s="2"/>
      <c r="I216" s="2"/>
      <c r="J216" s="2"/>
      <c r="K216" s="2"/>
      <c r="L216" s="2"/>
      <c r="M216" s="2"/>
      <c r="N216" s="2"/>
      <c r="O216" s="2"/>
      <c r="P216" s="2"/>
      <c r="Q216" s="2"/>
      <c r="R216" s="2"/>
      <c r="S216" s="2"/>
      <c r="T216" s="2"/>
      <c r="U216" s="2"/>
      <c r="V216" s="2"/>
      <c r="W216" s="2"/>
      <c r="X216" s="2"/>
      <c r="Y216" s="2"/>
    </row>
    <row r="217" spans="1:25" ht="14.25" customHeight="1">
      <c r="A217" s="2"/>
      <c r="B217" s="2"/>
      <c r="C217" s="75"/>
      <c r="D217" s="2"/>
      <c r="E217" s="2"/>
      <c r="F217" s="2"/>
      <c r="G217" s="2"/>
      <c r="H217" s="2"/>
      <c r="I217" s="2"/>
      <c r="J217" s="2"/>
      <c r="K217" s="2"/>
      <c r="L217" s="2"/>
      <c r="M217" s="2"/>
      <c r="N217" s="2"/>
      <c r="O217" s="2"/>
      <c r="P217" s="2"/>
      <c r="Q217" s="2"/>
      <c r="R217" s="2"/>
      <c r="S217" s="2"/>
      <c r="T217" s="2"/>
      <c r="U217" s="2"/>
      <c r="V217" s="2"/>
      <c r="W217" s="2"/>
      <c r="X217" s="2"/>
      <c r="Y217" s="2"/>
    </row>
    <row r="218" spans="1:25" ht="14.25" customHeight="1">
      <c r="A218" s="2"/>
      <c r="B218" s="2"/>
      <c r="C218" s="75"/>
      <c r="D218" s="2"/>
      <c r="E218" s="2"/>
      <c r="F218" s="2"/>
      <c r="G218" s="2"/>
      <c r="H218" s="2"/>
      <c r="I218" s="2"/>
      <c r="J218" s="2"/>
      <c r="K218" s="2"/>
      <c r="L218" s="2"/>
      <c r="M218" s="2"/>
      <c r="N218" s="2"/>
      <c r="O218" s="2"/>
      <c r="P218" s="2"/>
      <c r="Q218" s="2"/>
      <c r="R218" s="2"/>
      <c r="S218" s="2"/>
      <c r="T218" s="2"/>
      <c r="U218" s="2"/>
      <c r="V218" s="2"/>
      <c r="W218" s="2"/>
      <c r="X218" s="2"/>
      <c r="Y218" s="2"/>
    </row>
    <row r="219" spans="1:25" ht="14.25" customHeight="1">
      <c r="A219" s="2"/>
      <c r="B219" s="2"/>
      <c r="C219" s="75"/>
      <c r="D219" s="2"/>
      <c r="E219" s="2"/>
      <c r="F219" s="2"/>
      <c r="G219" s="2"/>
      <c r="H219" s="2"/>
      <c r="I219" s="2"/>
      <c r="J219" s="2"/>
      <c r="K219" s="2"/>
      <c r="L219" s="2"/>
      <c r="M219" s="2"/>
      <c r="N219" s="2"/>
      <c r="O219" s="2"/>
      <c r="P219" s="2"/>
      <c r="Q219" s="2"/>
      <c r="R219" s="2"/>
      <c r="S219" s="2"/>
      <c r="T219" s="2"/>
      <c r="U219" s="2"/>
      <c r="V219" s="2"/>
      <c r="W219" s="2"/>
      <c r="X219" s="2"/>
      <c r="Y219" s="2"/>
    </row>
    <row r="220" spans="1:25" ht="14.25" customHeight="1">
      <c r="A220" s="2"/>
      <c r="B220" s="2"/>
      <c r="C220" s="75"/>
      <c r="D220" s="2"/>
      <c r="E220" s="2"/>
      <c r="F220" s="2"/>
      <c r="G220" s="2"/>
      <c r="H220" s="2"/>
      <c r="I220" s="2"/>
      <c r="J220" s="2"/>
      <c r="K220" s="2"/>
      <c r="L220" s="2"/>
      <c r="M220" s="2"/>
      <c r="N220" s="2"/>
      <c r="O220" s="2"/>
      <c r="P220" s="2"/>
      <c r="Q220" s="2"/>
      <c r="R220" s="2"/>
      <c r="S220" s="2"/>
      <c r="T220" s="2"/>
      <c r="U220" s="2"/>
      <c r="V220" s="2"/>
      <c r="W220" s="2"/>
      <c r="X220" s="2"/>
      <c r="Y220" s="2"/>
    </row>
    <row r="221" spans="1:25" ht="14.25" customHeight="1">
      <c r="A221" s="2"/>
      <c r="B221" s="2"/>
      <c r="C221" s="75"/>
      <c r="D221" s="2"/>
      <c r="E221" s="2"/>
      <c r="F221" s="2"/>
      <c r="G221" s="2"/>
      <c r="H221" s="2"/>
      <c r="I221" s="2"/>
      <c r="J221" s="2"/>
      <c r="K221" s="2"/>
      <c r="L221" s="2"/>
      <c r="M221" s="2"/>
      <c r="N221" s="2"/>
      <c r="O221" s="2"/>
      <c r="P221" s="2"/>
      <c r="Q221" s="2"/>
      <c r="R221" s="2"/>
      <c r="S221" s="2"/>
      <c r="T221" s="2"/>
      <c r="U221" s="2"/>
      <c r="V221" s="2"/>
      <c r="W221" s="2"/>
      <c r="X221" s="2"/>
      <c r="Y221" s="2"/>
    </row>
    <row r="222" spans="1:25" ht="14.25" customHeight="1">
      <c r="A222" s="2"/>
      <c r="B222" s="2"/>
      <c r="C222" s="75"/>
      <c r="D222" s="2"/>
      <c r="E222" s="2"/>
      <c r="F222" s="2"/>
      <c r="G222" s="2"/>
      <c r="H222" s="2"/>
      <c r="I222" s="2"/>
      <c r="J222" s="2"/>
      <c r="K222" s="2"/>
      <c r="L222" s="2"/>
      <c r="M222" s="2"/>
      <c r="N222" s="2"/>
      <c r="O222" s="2"/>
      <c r="P222" s="2"/>
      <c r="Q222" s="2"/>
      <c r="R222" s="2"/>
      <c r="S222" s="2"/>
      <c r="T222" s="2"/>
      <c r="U222" s="2"/>
      <c r="V222" s="2"/>
      <c r="W222" s="2"/>
      <c r="X222" s="2"/>
      <c r="Y222" s="2"/>
    </row>
    <row r="223" spans="1:25" ht="14.25" customHeight="1">
      <c r="A223" s="2"/>
      <c r="B223" s="2"/>
      <c r="C223" s="75"/>
      <c r="D223" s="2"/>
      <c r="E223" s="2"/>
      <c r="F223" s="2"/>
      <c r="G223" s="2"/>
      <c r="H223" s="2"/>
      <c r="I223" s="2"/>
      <c r="J223" s="2"/>
      <c r="K223" s="2"/>
      <c r="L223" s="2"/>
      <c r="M223" s="2"/>
      <c r="N223" s="2"/>
      <c r="O223" s="2"/>
      <c r="P223" s="2"/>
      <c r="Q223" s="2"/>
      <c r="R223" s="2"/>
      <c r="S223" s="2"/>
      <c r="T223" s="2"/>
      <c r="U223" s="2"/>
      <c r="V223" s="2"/>
      <c r="W223" s="2"/>
      <c r="X223" s="2"/>
      <c r="Y223" s="2"/>
    </row>
    <row r="224" spans="1:25" ht="14.25" customHeight="1">
      <c r="A224" s="2"/>
      <c r="B224" s="2"/>
      <c r="C224" s="75"/>
      <c r="D224" s="2"/>
      <c r="E224" s="2"/>
      <c r="F224" s="2"/>
      <c r="G224" s="2"/>
      <c r="H224" s="2"/>
      <c r="I224" s="2"/>
      <c r="J224" s="2"/>
      <c r="K224" s="2"/>
      <c r="L224" s="2"/>
      <c r="M224" s="2"/>
      <c r="N224" s="2"/>
      <c r="O224" s="2"/>
      <c r="P224" s="2"/>
      <c r="Q224" s="2"/>
      <c r="R224" s="2"/>
      <c r="S224" s="2"/>
      <c r="T224" s="2"/>
      <c r="U224" s="2"/>
      <c r="V224" s="2"/>
      <c r="W224" s="2"/>
      <c r="X224" s="2"/>
      <c r="Y224" s="2"/>
    </row>
    <row r="225" spans="1:25" ht="14.25" customHeight="1">
      <c r="A225" s="2"/>
      <c r="B225" s="2"/>
      <c r="C225" s="75"/>
      <c r="D225" s="2"/>
      <c r="E225" s="2"/>
      <c r="F225" s="2"/>
      <c r="G225" s="2"/>
      <c r="H225" s="2"/>
      <c r="I225" s="2"/>
      <c r="J225" s="2"/>
      <c r="K225" s="2"/>
      <c r="L225" s="2"/>
      <c r="M225" s="2"/>
      <c r="N225" s="2"/>
      <c r="O225" s="2"/>
      <c r="P225" s="2"/>
      <c r="Q225" s="2"/>
      <c r="R225" s="2"/>
      <c r="S225" s="2"/>
      <c r="T225" s="2"/>
      <c r="U225" s="2"/>
      <c r="V225" s="2"/>
      <c r="W225" s="2"/>
      <c r="X225" s="2"/>
      <c r="Y225" s="2"/>
    </row>
    <row r="226" spans="1:25" ht="14.25" customHeight="1">
      <c r="A226" s="2"/>
      <c r="B226" s="2"/>
      <c r="C226" s="75"/>
      <c r="D226" s="2"/>
      <c r="E226" s="2"/>
      <c r="F226" s="2"/>
      <c r="G226" s="2"/>
      <c r="H226" s="2"/>
      <c r="I226" s="2"/>
      <c r="J226" s="2"/>
      <c r="K226" s="2"/>
      <c r="L226" s="2"/>
      <c r="M226" s="2"/>
      <c r="N226" s="2"/>
      <c r="O226" s="2"/>
      <c r="P226" s="2"/>
      <c r="Q226" s="2"/>
      <c r="R226" s="2"/>
      <c r="S226" s="2"/>
      <c r="T226" s="2"/>
      <c r="U226" s="2"/>
      <c r="V226" s="2"/>
      <c r="W226" s="2"/>
      <c r="X226" s="2"/>
      <c r="Y226" s="2"/>
    </row>
    <row r="227" spans="1:25" ht="14.25" customHeight="1">
      <c r="A227" s="2"/>
      <c r="B227" s="2"/>
      <c r="C227" s="75"/>
      <c r="D227" s="2"/>
      <c r="E227" s="2"/>
      <c r="F227" s="2"/>
      <c r="G227" s="2"/>
      <c r="H227" s="2"/>
      <c r="I227" s="2"/>
      <c r="J227" s="2"/>
      <c r="K227" s="2"/>
      <c r="L227" s="2"/>
      <c r="M227" s="2"/>
      <c r="N227" s="2"/>
      <c r="O227" s="2"/>
      <c r="P227" s="2"/>
      <c r="Q227" s="2"/>
      <c r="R227" s="2"/>
      <c r="S227" s="2"/>
      <c r="T227" s="2"/>
      <c r="U227" s="2"/>
      <c r="V227" s="2"/>
      <c r="W227" s="2"/>
      <c r="X227" s="2"/>
      <c r="Y227" s="2"/>
    </row>
    <row r="228" spans="1:25" ht="14.25" customHeight="1">
      <c r="A228" s="2"/>
      <c r="B228" s="2"/>
      <c r="C228" s="75"/>
      <c r="D228" s="2"/>
      <c r="E228" s="2"/>
      <c r="F228" s="2"/>
      <c r="G228" s="2"/>
      <c r="H228" s="2"/>
      <c r="I228" s="2"/>
      <c r="J228" s="2"/>
      <c r="K228" s="2"/>
      <c r="L228" s="2"/>
      <c r="M228" s="2"/>
      <c r="N228" s="2"/>
      <c r="O228" s="2"/>
      <c r="P228" s="2"/>
      <c r="Q228" s="2"/>
      <c r="R228" s="2"/>
      <c r="S228" s="2"/>
      <c r="T228" s="2"/>
      <c r="U228" s="2"/>
      <c r="V228" s="2"/>
      <c r="W228" s="2"/>
      <c r="X228" s="2"/>
      <c r="Y228" s="2"/>
    </row>
    <row r="229" spans="1:25" ht="14.25" customHeight="1">
      <c r="A229" s="2"/>
      <c r="B229" s="2"/>
      <c r="C229" s="75"/>
      <c r="D229" s="2"/>
      <c r="E229" s="2"/>
      <c r="F229" s="2"/>
      <c r="G229" s="2"/>
      <c r="H229" s="2"/>
      <c r="I229" s="2"/>
      <c r="J229" s="2"/>
      <c r="K229" s="2"/>
      <c r="L229" s="2"/>
      <c r="M229" s="2"/>
      <c r="N229" s="2"/>
      <c r="O229" s="2"/>
      <c r="P229" s="2"/>
      <c r="Q229" s="2"/>
      <c r="R229" s="2"/>
      <c r="S229" s="2"/>
      <c r="T229" s="2"/>
      <c r="U229" s="2"/>
      <c r="V229" s="2"/>
      <c r="W229" s="2"/>
      <c r="X229" s="2"/>
      <c r="Y229" s="2"/>
    </row>
    <row r="230" spans="1:25" ht="14.25" customHeight="1">
      <c r="A230" s="2"/>
      <c r="B230" s="2"/>
      <c r="C230" s="75"/>
      <c r="D230" s="2"/>
      <c r="E230" s="2"/>
      <c r="F230" s="2"/>
      <c r="G230" s="2"/>
      <c r="H230" s="2"/>
      <c r="I230" s="2"/>
      <c r="J230" s="2"/>
      <c r="K230" s="2"/>
      <c r="L230" s="2"/>
      <c r="M230" s="2"/>
      <c r="N230" s="2"/>
      <c r="O230" s="2"/>
      <c r="P230" s="2"/>
      <c r="Q230" s="2"/>
      <c r="R230" s="2"/>
      <c r="S230" s="2"/>
      <c r="T230" s="2"/>
      <c r="U230" s="2"/>
      <c r="V230" s="2"/>
      <c r="W230" s="2"/>
      <c r="X230" s="2"/>
      <c r="Y230" s="2"/>
    </row>
    <row r="231" spans="1:25" ht="14.25" customHeight="1"/>
    <row r="232" spans="1:25" ht="14.25" customHeight="1"/>
    <row r="233" spans="1:25" ht="14.25" customHeight="1"/>
    <row r="234" spans="1:25" ht="14.25" customHeight="1"/>
    <row r="235" spans="1:25" ht="14.25" customHeight="1"/>
    <row r="236" spans="1:25" ht="14.25" customHeight="1"/>
    <row r="237" spans="1:25" ht="14.25" customHeight="1"/>
    <row r="238" spans="1:25" ht="14.25" customHeight="1"/>
    <row r="239" spans="1:25" ht="14.25" customHeight="1"/>
    <row r="240" spans="1:25"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sheetData>
  <sheetProtection algorithmName="SHA-512" hashValue="MbPEj5WU3sCWJUGCYJz33Txd+0mAXN4F0/o6QIjS8GCob57aMxQG/cjs0lledwx9Vu5ea7LHuIX/tyzvPKaNFg==" saltValue="1ZvfZu3nugmpZQ8dpQxbZw==" spinCount="100000" sheet="1" objects="1" scenarios="1" selectLockedCells="1" selectUnlockedCells="1"/>
  <mergeCells count="16">
    <mergeCell ref="O17:Q17"/>
    <mergeCell ref="M7:S7"/>
    <mergeCell ref="M9:S12"/>
    <mergeCell ref="M13:S13"/>
    <mergeCell ref="M21:S21"/>
    <mergeCell ref="M22:O23"/>
    <mergeCell ref="P22:S23"/>
    <mergeCell ref="M24:O25"/>
    <mergeCell ref="P24:S25"/>
    <mergeCell ref="F36:I36"/>
    <mergeCell ref="B8:L13"/>
    <mergeCell ref="F38:I38"/>
    <mergeCell ref="D19:J19"/>
    <mergeCell ref="D27:J27"/>
    <mergeCell ref="D28:J29"/>
    <mergeCell ref="D32:J32"/>
  </mergeCells>
  <hyperlinks>
    <hyperlink ref="F38" r:id="rId1" xr:uid="{4481AFBE-95BC-4BA3-9B7D-3DFFE6662075}"/>
  </hyperlinks>
  <pageMargins left="0.7" right="0.7" top="0.75" bottom="0.75" header="0" footer="0"/>
  <pageSetup paperSize="9" orientation="portrait" r:id="rId2"/>
  <drawing r:id="rId3"/>
  <extLst>
    <ext xmlns:x14="http://schemas.microsoft.com/office/spreadsheetml/2009/9/main" uri="{CCE6A557-97BC-4b89-ADB6-D9C93CAAB3DF}">
      <x14:dataValidations xmlns:xm="http://schemas.microsoft.com/office/excel/2006/main" count="1">
        <x14:dataValidation type="list" allowBlank="1" showErrorMessage="1" xr:uid="{00000000-0002-0000-0000-000000000000}">
          <x14:formula1>
            <xm:f>Translation!$E$5:$F$5</xm:f>
          </x14:formula1>
          <xm:sqref>F4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16633-792A-43FB-A963-BB552BF4A9CB}">
  <sheetPr codeName="Sheet10"/>
  <dimension ref="B1:E21"/>
  <sheetViews>
    <sheetView workbookViewId="0">
      <selection activeCell="B22" sqref="B22"/>
    </sheetView>
  </sheetViews>
  <sheetFormatPr baseColWidth="10" defaultColWidth="8.85546875" defaultRowHeight="15"/>
  <cols>
    <col min="2" max="2" width="20.140625" bestFit="1" customWidth="1"/>
  </cols>
  <sheetData>
    <row r="1" spans="2:5">
      <c r="B1" s="190" t="s">
        <v>789</v>
      </c>
      <c r="C1">
        <f>'2 Technical Input'!G26+'2 Technical Input'!G26+'2 Technical Input'!G27+'2 Technical Input'!G27+(8*'2 Technical Input'!G30)</f>
        <v>15.4</v>
      </c>
      <c r="D1" s="190" t="s">
        <v>6</v>
      </c>
    </row>
    <row r="2" spans="2:5">
      <c r="B2" s="190" t="s">
        <v>790</v>
      </c>
      <c r="C2">
        <f>'2 Technical Input'!G26+'2 Technical Input'!G26+'2 Technical Input'!G27+'2 Technical Input'!G27</f>
        <v>13</v>
      </c>
      <c r="D2" s="190"/>
    </row>
    <row r="3" spans="2:5">
      <c r="B3" s="190" t="s">
        <v>785</v>
      </c>
      <c r="C3">
        <f>C1*'2 Technical Input'!G28</f>
        <v>32.340000000000003</v>
      </c>
      <c r="D3" s="190" t="s">
        <v>526</v>
      </c>
    </row>
    <row r="4" spans="2:5">
      <c r="B4" s="190" t="s">
        <v>786</v>
      </c>
      <c r="C4">
        <f>C3-('2 Technical Input'!G27*'2 Technical Input'!G28)</f>
        <v>24.360000000000003</v>
      </c>
      <c r="D4" s="190" t="s">
        <v>526</v>
      </c>
    </row>
    <row r="5" spans="2:5">
      <c r="B5" s="190" t="s">
        <v>787</v>
      </c>
      <c r="C5">
        <f>ROUNDUP(C3/(2.4*2.4),0)</f>
        <v>6</v>
      </c>
      <c r="D5" s="190"/>
      <c r="E5" s="190" t="s">
        <v>784</v>
      </c>
    </row>
    <row r="6" spans="2:5">
      <c r="B6" s="190" t="s">
        <v>408</v>
      </c>
      <c r="C6">
        <f>ROUNDUP(C1/'6 LCA'!E15,0)</f>
        <v>13</v>
      </c>
      <c r="E6" s="190" t="s">
        <v>784</v>
      </c>
    </row>
    <row r="7" spans="2:5">
      <c r="B7" s="190" t="s">
        <v>791</v>
      </c>
      <c r="C7">
        <f>ROUNDUP(C2/1.2,0)</f>
        <v>11</v>
      </c>
      <c r="E7" s="190" t="s">
        <v>784</v>
      </c>
    </row>
    <row r="8" spans="2:5">
      <c r="B8" s="190" t="s">
        <v>438</v>
      </c>
      <c r="C8">
        <f>5*C1</f>
        <v>77</v>
      </c>
      <c r="D8" s="190" t="s">
        <v>6</v>
      </c>
      <c r="E8" s="190" t="s">
        <v>784</v>
      </c>
    </row>
    <row r="9" spans="2:5">
      <c r="B9" s="190" t="s">
        <v>460</v>
      </c>
      <c r="C9">
        <f>C3+2*('2 Technical Input'!G26*'2 Technical Input'!G27)</f>
        <v>52.86</v>
      </c>
      <c r="D9" s="190" t="s">
        <v>526</v>
      </c>
      <c r="E9" s="190" t="s">
        <v>784</v>
      </c>
    </row>
    <row r="10" spans="2:5">
      <c r="B10" s="190" t="s">
        <v>465</v>
      </c>
      <c r="D10" s="190" t="s">
        <v>526</v>
      </c>
    </row>
    <row r="12" spans="2:5">
      <c r="B12" s="190" t="s">
        <v>773</v>
      </c>
      <c r="C12" s="191">
        <f>'4 Technical Design Output'!K12</f>
        <v>6</v>
      </c>
      <c r="D12" s="190" t="s">
        <v>774</v>
      </c>
    </row>
    <row r="13" spans="2:5">
      <c r="B13" s="190" t="s">
        <v>775</v>
      </c>
      <c r="C13" s="191">
        <f>1000*'4 Technical Design Output'!D23</f>
        <v>3814</v>
      </c>
      <c r="D13" s="190" t="s">
        <v>32</v>
      </c>
    </row>
    <row r="14" spans="2:5">
      <c r="B14" s="190" t="s">
        <v>782</v>
      </c>
      <c r="C14" s="191">
        <f>HLOOKUP('6 LCA'!S26,PV!B1:E24,22,FALSE)</f>
        <v>410</v>
      </c>
      <c r="D14" s="190" t="s">
        <v>32</v>
      </c>
    </row>
    <row r="15" spans="2:5">
      <c r="B15" s="190" t="s">
        <v>783</v>
      </c>
      <c r="C15" s="191">
        <f>ROUNDUP(C13/C14,0)</f>
        <v>10</v>
      </c>
      <c r="D15" s="190"/>
      <c r="E15" s="190" t="s">
        <v>784</v>
      </c>
    </row>
    <row r="16" spans="2:5">
      <c r="B16" s="190" t="s">
        <v>778</v>
      </c>
      <c r="C16">
        <f>1000*'4 Technical Design Output'!I23</f>
        <v>11000</v>
      </c>
      <c r="D16" s="190" t="s">
        <v>433</v>
      </c>
    </row>
    <row r="17" spans="2:5">
      <c r="B17" s="190" t="s">
        <v>779</v>
      </c>
      <c r="C17">
        <f>'6 LCA'!S20*'6 LCA'!S21*(HLOOKUP('6 LCA'!S19,Batteries!B1:J27,25,FALSE))</f>
        <v>4096</v>
      </c>
      <c r="D17" s="190" t="s">
        <v>433</v>
      </c>
    </row>
    <row r="18" spans="2:5">
      <c r="B18" s="190" t="s">
        <v>780</v>
      </c>
      <c r="C18">
        <f>ROUNDUP(C16/C17,0)</f>
        <v>3</v>
      </c>
      <c r="E18" s="190" t="s">
        <v>784</v>
      </c>
    </row>
    <row r="20" spans="2:5">
      <c r="B20" s="190" t="s">
        <v>423</v>
      </c>
      <c r="C20">
        <f>'2 Technical Input'!G26*1.5</f>
        <v>4.0500000000000007</v>
      </c>
      <c r="D20" s="190" t="s">
        <v>6</v>
      </c>
    </row>
    <row r="21" spans="2:5">
      <c r="B21" s="190" t="s">
        <v>799</v>
      </c>
      <c r="C21">
        <f>'2 Technical Input'!G26</f>
        <v>2.7</v>
      </c>
      <c r="D21" s="190" t="s">
        <v>6</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1A5F3-01EF-4C4B-8D3D-158081BE80AA}">
  <sheetPr codeName="Sheet11"/>
  <dimension ref="A1:AX117"/>
  <sheetViews>
    <sheetView showGridLines="0" topLeftCell="A55" zoomScale="85" zoomScaleNormal="85" workbookViewId="0">
      <selection activeCell="S70" sqref="S70"/>
    </sheetView>
  </sheetViews>
  <sheetFormatPr baseColWidth="10" defaultColWidth="8.85546875" defaultRowHeight="15"/>
  <cols>
    <col min="1" max="1" width="4.85546875" style="124" customWidth="1"/>
    <col min="2" max="2" width="5" style="124" customWidth="1"/>
    <col min="3" max="3" width="9" style="124" bestFit="1" customWidth="1"/>
    <col min="4" max="4" width="11.5703125" style="124" customWidth="1"/>
    <col min="5" max="5" width="11" style="124" customWidth="1"/>
    <col min="6" max="6" width="7.85546875" style="124" customWidth="1"/>
    <col min="7" max="7" width="2.28515625" style="124" customWidth="1"/>
    <col min="8" max="8" width="4.7109375" style="124" customWidth="1"/>
    <col min="9" max="9" width="4" style="124" customWidth="1"/>
    <col min="10" max="12" width="8.85546875" style="124"/>
    <col min="13" max="13" width="4.7109375" style="124" customWidth="1"/>
    <col min="14" max="14" width="3.42578125" style="124" customWidth="1"/>
    <col min="15" max="15" width="5" style="124" customWidth="1"/>
    <col min="16" max="17" width="8.85546875" style="124"/>
    <col min="18" max="18" width="10.85546875" style="124" customWidth="1"/>
    <col min="19" max="19" width="9.5703125" style="124" bestFit="1" customWidth="1"/>
    <col min="20" max="21" width="8.85546875" style="124"/>
    <col min="22" max="22" width="3.85546875" style="124" customWidth="1"/>
    <col min="23" max="23" width="9.140625" style="124" customWidth="1"/>
    <col min="24" max="26" width="8.85546875" style="124"/>
    <col min="27" max="27" width="11.5703125" style="124" bestFit="1" customWidth="1"/>
    <col min="28" max="16384" width="8.85546875" style="124"/>
  </cols>
  <sheetData>
    <row r="1" spans="1:47" s="196" customFormat="1"/>
    <row r="2" spans="1:47" s="196" customFormat="1" ht="18.75">
      <c r="F2" s="206"/>
      <c r="I2" s="402" t="s">
        <v>772</v>
      </c>
      <c r="J2" s="402"/>
      <c r="K2" s="402"/>
      <c r="L2" s="402"/>
      <c r="M2" s="402"/>
      <c r="N2" s="402"/>
      <c r="O2" s="402"/>
      <c r="P2" s="402"/>
      <c r="Q2" s="402"/>
      <c r="R2" s="402"/>
      <c r="S2" s="402"/>
      <c r="T2" s="402"/>
      <c r="U2" s="402"/>
    </row>
    <row r="3" spans="1:47" s="196" customFormat="1" ht="18.75">
      <c r="I3" s="192"/>
      <c r="J3" s="192"/>
      <c r="K3" s="192"/>
      <c r="L3" s="192"/>
      <c r="M3" s="192"/>
      <c r="N3" s="192"/>
      <c r="O3" s="192"/>
      <c r="P3" s="192"/>
      <c r="Q3" s="192"/>
      <c r="R3" s="192"/>
      <c r="S3" s="192"/>
      <c r="T3" s="192"/>
      <c r="U3" s="192"/>
    </row>
    <row r="4" spans="1:47" ht="16.149999999999999" customHeight="1" thickBot="1">
      <c r="A4" s="123"/>
      <c r="B4" s="123"/>
      <c r="C4" s="123"/>
      <c r="D4" s="123"/>
      <c r="E4" s="123"/>
      <c r="F4" s="123"/>
      <c r="G4" s="123"/>
      <c r="H4" s="123"/>
      <c r="I4" s="405" t="s">
        <v>795</v>
      </c>
      <c r="J4" s="405"/>
      <c r="K4" s="405"/>
      <c r="L4" s="405"/>
      <c r="M4" s="405"/>
      <c r="N4" s="123"/>
      <c r="O4" s="197"/>
      <c r="P4" s="404" t="s">
        <v>776</v>
      </c>
      <c r="Q4" s="404"/>
      <c r="R4" s="123"/>
      <c r="S4" s="403" t="s">
        <v>793</v>
      </c>
      <c r="T4" s="40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row>
    <row r="5" spans="1:47" ht="18.75">
      <c r="A5" s="123"/>
      <c r="B5" s="396" t="s">
        <v>396</v>
      </c>
      <c r="C5" s="397"/>
      <c r="D5" s="397"/>
      <c r="E5" s="397"/>
      <c r="F5" s="397"/>
      <c r="G5" s="398"/>
      <c r="H5" s="123"/>
      <c r="I5" s="405"/>
      <c r="J5" s="405"/>
      <c r="K5" s="405"/>
      <c r="L5" s="405"/>
      <c r="M5" s="405"/>
      <c r="N5" s="193"/>
      <c r="O5" s="197"/>
      <c r="P5" s="421" t="s">
        <v>792</v>
      </c>
      <c r="Q5" s="421"/>
      <c r="R5" s="198"/>
      <c r="S5" s="422" t="s">
        <v>794</v>
      </c>
      <c r="T5" s="422"/>
      <c r="U5" s="19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row>
    <row r="6" spans="1:47">
      <c r="A6" s="123"/>
      <c r="B6" s="125"/>
      <c r="G6" s="126"/>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row>
    <row r="7" spans="1:47">
      <c r="A7" s="123"/>
      <c r="B7" s="125"/>
      <c r="C7" s="124" t="s">
        <v>397</v>
      </c>
      <c r="E7" s="194">
        <f>'3 LCA Input'!G5</f>
        <v>20</v>
      </c>
      <c r="F7" s="124" t="s">
        <v>398</v>
      </c>
      <c r="G7" s="126"/>
      <c r="H7" s="123"/>
      <c r="I7" s="123"/>
      <c r="J7" s="123"/>
      <c r="K7" s="123"/>
      <c r="L7" s="123"/>
      <c r="M7" s="123"/>
      <c r="N7" s="123"/>
      <c r="O7" s="123"/>
      <c r="P7" s="123"/>
      <c r="Q7" s="123"/>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row>
    <row r="8" spans="1:47">
      <c r="A8" s="123"/>
      <c r="B8" s="125"/>
      <c r="G8" s="126"/>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row>
    <row r="9" spans="1:47" ht="15.75" thickBot="1">
      <c r="A9" s="123"/>
      <c r="B9" s="128"/>
      <c r="C9" s="129"/>
      <c r="D9" s="129"/>
      <c r="E9" s="129"/>
      <c r="F9" s="129"/>
      <c r="G9" s="130"/>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row>
    <row r="10" spans="1:47" ht="15.75" thickBot="1">
      <c r="A10" s="123"/>
      <c r="B10" s="123"/>
      <c r="C10" s="123"/>
      <c r="D10" s="123"/>
      <c r="E10" s="123"/>
      <c r="F10" s="123"/>
      <c r="G10" s="123"/>
      <c r="H10" s="123"/>
      <c r="I10" s="123"/>
      <c r="J10" s="123"/>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c r="AQ10" s="123"/>
      <c r="AR10" s="123"/>
      <c r="AS10" s="123"/>
      <c r="AT10" s="123"/>
      <c r="AU10" s="123"/>
    </row>
    <row r="11" spans="1:47">
      <c r="A11" s="123"/>
      <c r="B11" s="396" t="s">
        <v>399</v>
      </c>
      <c r="C11" s="397"/>
      <c r="D11" s="397"/>
      <c r="E11" s="397"/>
      <c r="F11" s="397"/>
      <c r="G11" s="398"/>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row>
    <row r="12" spans="1:47">
      <c r="A12" s="123"/>
      <c r="B12" s="131"/>
      <c r="C12" s="132"/>
      <c r="D12" s="132"/>
      <c r="E12" s="132"/>
      <c r="F12" s="132"/>
      <c r="G12" s="13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row>
    <row r="13" spans="1:47" ht="15.75" thickBot="1">
      <c r="A13" s="123"/>
      <c r="B13" s="131"/>
      <c r="C13" s="124" t="s">
        <v>400</v>
      </c>
      <c r="E13" s="194" t="str">
        <f>'3 LCA Input'!G13</f>
        <v>Plastic</v>
      </c>
      <c r="G13" s="13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row>
    <row r="14" spans="1:47">
      <c r="A14" s="123"/>
      <c r="B14" s="131"/>
      <c r="C14" s="132" t="s">
        <v>402</v>
      </c>
      <c r="D14" s="132"/>
      <c r="E14" s="194">
        <f>'3 LCA Input'!G14</f>
        <v>18</v>
      </c>
      <c r="F14" s="132" t="s">
        <v>403</v>
      </c>
      <c r="G14" s="133"/>
      <c r="H14" s="123"/>
      <c r="I14" s="135">
        <f>SUM(C72:O72)+R72</f>
        <v>5914.9924419583031</v>
      </c>
      <c r="J14" s="136">
        <f>I14/SUM(ABS(I14)+ABS(I15))</f>
        <v>0.64666042549821112</v>
      </c>
      <c r="K14" s="137"/>
      <c r="L14" s="411" t="str">
        <f>IF(ABS(I15)&gt;ABS(I14),"Net Zero","(Above Zero)")</f>
        <v>(Above Zero)</v>
      </c>
      <c r="M14" s="411"/>
      <c r="N14" s="406"/>
      <c r="O14" s="123"/>
      <c r="P14" s="410" t="s">
        <v>404</v>
      </c>
      <c r="Q14" s="411"/>
      <c r="R14" s="411"/>
      <c r="S14" s="414">
        <f>SUM(C72:R72)</f>
        <v>2683.001074908695</v>
      </c>
      <c r="T14" s="414"/>
      <c r="U14" s="406" t="s">
        <v>405</v>
      </c>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row>
    <row r="15" spans="1:47" ht="15.75" thickBot="1">
      <c r="A15" s="123"/>
      <c r="B15" s="131"/>
      <c r="C15" s="132" t="s">
        <v>406</v>
      </c>
      <c r="D15" s="132"/>
      <c r="E15" s="194">
        <f>'3 LCA Input'!G15</f>
        <v>1.2</v>
      </c>
      <c r="F15" s="132" t="s">
        <v>6</v>
      </c>
      <c r="G15" s="133"/>
      <c r="H15" s="123"/>
      <c r="I15" s="138">
        <f>P72+Q72</f>
        <v>-3231.991367049608</v>
      </c>
      <c r="J15" s="139">
        <f>I15/SUM(ABS(I14)+ABS(I15))</f>
        <v>-0.35333957450178899</v>
      </c>
      <c r="K15" s="140"/>
      <c r="L15" s="413"/>
      <c r="M15" s="413"/>
      <c r="N15" s="407"/>
      <c r="O15" s="123"/>
      <c r="P15" s="412"/>
      <c r="Q15" s="413"/>
      <c r="R15" s="413"/>
      <c r="S15" s="415"/>
      <c r="T15" s="415"/>
      <c r="U15" s="407"/>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3"/>
      <c r="AR15" s="123"/>
      <c r="AS15" s="123"/>
      <c r="AT15" s="123"/>
      <c r="AU15" s="123"/>
    </row>
    <row r="16" spans="1:47" ht="15.75" thickBot="1">
      <c r="A16" s="123"/>
      <c r="B16" s="131"/>
      <c r="C16" s="132" t="s">
        <v>407</v>
      </c>
      <c r="D16" s="132"/>
      <c r="E16" s="194">
        <f>'3 LCA Input'!G16</f>
        <v>2.4</v>
      </c>
      <c r="F16" s="132" t="s">
        <v>6</v>
      </c>
      <c r="G16" s="13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3"/>
      <c r="AF16" s="123"/>
      <c r="AG16" s="123"/>
      <c r="AH16" s="123"/>
      <c r="AI16" s="123"/>
      <c r="AJ16" s="123"/>
      <c r="AK16" s="123"/>
      <c r="AL16" s="123"/>
      <c r="AM16" s="123"/>
      <c r="AN16" s="123"/>
      <c r="AO16" s="123"/>
      <c r="AP16" s="123"/>
      <c r="AQ16" s="123"/>
      <c r="AR16" s="123"/>
      <c r="AS16" s="123"/>
      <c r="AT16" s="123"/>
      <c r="AU16" s="123"/>
    </row>
    <row r="17" spans="1:47">
      <c r="A17" s="123"/>
      <c r="B17" s="125"/>
      <c r="C17" s="124" t="s">
        <v>408</v>
      </c>
      <c r="D17" s="141"/>
      <c r="E17" s="194">
        <f>'LCA calcs'!C6</f>
        <v>13</v>
      </c>
      <c r="F17" s="141"/>
      <c r="G17" s="142"/>
      <c r="H17" s="123"/>
      <c r="I17" s="396" t="s">
        <v>803</v>
      </c>
      <c r="J17" s="397"/>
      <c r="K17" s="397"/>
      <c r="L17" s="397"/>
      <c r="M17" s="397"/>
      <c r="N17" s="398"/>
      <c r="O17" s="123"/>
      <c r="P17" s="396" t="s">
        <v>781</v>
      </c>
      <c r="Q17" s="397"/>
      <c r="R17" s="397"/>
      <c r="S17" s="397"/>
      <c r="T17" s="397"/>
      <c r="U17" s="398"/>
      <c r="V17" s="123"/>
      <c r="W17" s="123"/>
      <c r="X17" s="123"/>
      <c r="Y17" s="123"/>
      <c r="Z17" s="123"/>
      <c r="AA17" s="123"/>
      <c r="AB17" s="123"/>
      <c r="AC17" s="123"/>
      <c r="AD17" s="123"/>
      <c r="AE17" s="123"/>
      <c r="AF17" s="123"/>
      <c r="AG17" s="123"/>
      <c r="AH17" s="123"/>
      <c r="AI17" s="123"/>
      <c r="AJ17" s="123"/>
      <c r="AK17" s="123"/>
      <c r="AL17" s="123"/>
      <c r="AM17" s="123"/>
      <c r="AN17" s="123"/>
      <c r="AO17" s="123"/>
      <c r="AP17" s="123"/>
      <c r="AQ17" s="123"/>
      <c r="AR17" s="123"/>
      <c r="AS17" s="123"/>
      <c r="AT17" s="123"/>
      <c r="AU17" s="123"/>
    </row>
    <row r="18" spans="1:47">
      <c r="A18" s="123"/>
      <c r="B18" s="125"/>
      <c r="G18" s="126"/>
      <c r="H18" s="123"/>
      <c r="I18" s="125"/>
      <c r="N18" s="126"/>
      <c r="O18" s="123"/>
      <c r="P18" s="125"/>
      <c r="U18" s="126"/>
      <c r="V18" s="123"/>
      <c r="W18" s="123"/>
      <c r="X18" s="123"/>
      <c r="Y18" s="123"/>
      <c r="Z18" s="123"/>
      <c r="AA18" s="123"/>
      <c r="AB18" s="123"/>
      <c r="AC18" s="123"/>
      <c r="AD18" s="123"/>
      <c r="AE18" s="123"/>
      <c r="AF18" s="123"/>
      <c r="AG18" s="123"/>
      <c r="AH18" s="123"/>
      <c r="AI18" s="123"/>
      <c r="AJ18" s="123"/>
      <c r="AK18" s="123"/>
      <c r="AL18" s="123"/>
      <c r="AM18" s="123"/>
      <c r="AN18" s="123"/>
      <c r="AO18" s="123"/>
      <c r="AP18" s="123"/>
      <c r="AQ18" s="123"/>
      <c r="AR18" s="123"/>
      <c r="AS18" s="123"/>
      <c r="AT18" s="123"/>
      <c r="AU18" s="123"/>
    </row>
    <row r="19" spans="1:47">
      <c r="A19" s="123"/>
      <c r="B19" s="125"/>
      <c r="C19" s="124" t="s">
        <v>410</v>
      </c>
      <c r="E19" s="194" t="str">
        <f>'3 LCA Input'!G23</f>
        <v>No cement</v>
      </c>
      <c r="G19" s="126"/>
      <c r="H19" s="123"/>
      <c r="I19" s="125"/>
      <c r="J19" s="124" t="s">
        <v>412</v>
      </c>
      <c r="L19" s="194">
        <f>'3 LCA Input'!N32</f>
        <v>10</v>
      </c>
      <c r="M19" s="124" t="s">
        <v>413</v>
      </c>
      <c r="N19" s="126"/>
      <c r="O19" s="123"/>
      <c r="P19" s="125"/>
      <c r="Q19" s="124" t="s">
        <v>414</v>
      </c>
      <c r="S19" s="408" t="str">
        <f>'3 LCA Input'!N13</f>
        <v>Li-Ion LFP</v>
      </c>
      <c r="T19" s="409"/>
      <c r="U19" s="126"/>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c r="AU19" s="123"/>
    </row>
    <row r="20" spans="1:47">
      <c r="A20" s="123"/>
      <c r="B20" s="125"/>
      <c r="C20" s="124" t="s">
        <v>416</v>
      </c>
      <c r="E20" s="127">
        <v>0</v>
      </c>
      <c r="F20" s="124" t="s">
        <v>6</v>
      </c>
      <c r="G20" s="126"/>
      <c r="H20" s="123"/>
      <c r="I20" s="125"/>
      <c r="J20" s="124" t="s">
        <v>417</v>
      </c>
      <c r="L20" s="195">
        <f>'LCA calcs'!C12</f>
        <v>6</v>
      </c>
      <c r="N20" s="126"/>
      <c r="O20" s="123"/>
      <c r="P20" s="125"/>
      <c r="Q20" s="124" t="s">
        <v>418</v>
      </c>
      <c r="S20" s="143">
        <f>HLOOKUP(S19,Batteries!B1:J26,22,FALSE)</f>
        <v>25.6</v>
      </c>
      <c r="T20" s="124" t="s">
        <v>419</v>
      </c>
      <c r="U20" s="126"/>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row>
    <row r="21" spans="1:47">
      <c r="A21" s="123"/>
      <c r="B21" s="125"/>
      <c r="C21" s="124" t="s">
        <v>420</v>
      </c>
      <c r="E21" s="127">
        <v>0.5</v>
      </c>
      <c r="F21" s="124" t="s">
        <v>6</v>
      </c>
      <c r="G21" s="126"/>
      <c r="H21" s="123"/>
      <c r="I21" s="125"/>
      <c r="N21" s="126"/>
      <c r="O21" s="123"/>
      <c r="P21" s="125"/>
      <c r="Q21" s="124" t="s">
        <v>421</v>
      </c>
      <c r="S21" s="144">
        <f>HLOOKUP(S19,Batteries!B1:J26,23,FALSE)</f>
        <v>200</v>
      </c>
      <c r="T21" s="124" t="s">
        <v>422</v>
      </c>
      <c r="U21" s="126"/>
      <c r="V21" s="123"/>
      <c r="W21" s="123"/>
      <c r="X21" s="123"/>
      <c r="Y21" s="123"/>
      <c r="Z21" s="123"/>
      <c r="AA21" s="123"/>
      <c r="AB21" s="123"/>
      <c r="AC21" s="123"/>
      <c r="AD21" s="123"/>
      <c r="AE21" s="123"/>
      <c r="AF21" s="123"/>
      <c r="AG21" s="123"/>
      <c r="AH21" s="123"/>
      <c r="AI21" s="123"/>
      <c r="AJ21" s="123"/>
      <c r="AK21" s="123"/>
      <c r="AL21" s="123"/>
      <c r="AM21" s="123"/>
      <c r="AN21" s="123"/>
      <c r="AO21" s="123"/>
      <c r="AP21" s="123"/>
      <c r="AQ21" s="123"/>
      <c r="AR21" s="123"/>
      <c r="AS21" s="123"/>
      <c r="AT21" s="123"/>
      <c r="AU21" s="123"/>
    </row>
    <row r="22" spans="1:47">
      <c r="A22" s="123"/>
      <c r="B22" s="125"/>
      <c r="C22" s="124" t="s">
        <v>423</v>
      </c>
      <c r="E22" s="194">
        <f>'LCA calcs'!C20</f>
        <v>4.0500000000000007</v>
      </c>
      <c r="F22" s="124" t="s">
        <v>6</v>
      </c>
      <c r="G22" s="126"/>
      <c r="H22" s="123"/>
      <c r="I22" s="125"/>
      <c r="J22" s="124" t="s">
        <v>424</v>
      </c>
      <c r="L22" s="194" t="str">
        <f>'3 LCA Input'!N31</f>
        <v>600a</v>
      </c>
      <c r="N22" s="126"/>
      <c r="O22" s="123"/>
      <c r="P22" s="125"/>
      <c r="Q22" s="124" t="s">
        <v>426</v>
      </c>
      <c r="S22" s="194">
        <f>'LCA calcs'!C18</f>
        <v>3</v>
      </c>
      <c r="U22" s="126"/>
      <c r="V22" s="123"/>
      <c r="W22" s="123"/>
      <c r="X22" s="123"/>
      <c r="Y22" s="123"/>
      <c r="Z22" s="123"/>
      <c r="AA22" s="123"/>
      <c r="AB22" s="123"/>
      <c r="AC22" s="123"/>
      <c r="AD22" s="123"/>
      <c r="AE22" s="123"/>
      <c r="AF22" s="123"/>
      <c r="AG22" s="123"/>
      <c r="AH22" s="123"/>
      <c r="AI22" s="123"/>
      <c r="AJ22" s="123"/>
      <c r="AK22" s="123"/>
      <c r="AL22" s="123"/>
      <c r="AM22" s="123"/>
      <c r="AN22" s="123"/>
      <c r="AO22" s="123"/>
      <c r="AP22" s="123"/>
      <c r="AQ22" s="123"/>
      <c r="AR22" s="123"/>
      <c r="AS22" s="123"/>
      <c r="AT22" s="123"/>
      <c r="AU22" s="123"/>
    </row>
    <row r="23" spans="1:47">
      <c r="A23" s="123"/>
      <c r="B23" s="125"/>
      <c r="C23" s="124" t="s">
        <v>427</v>
      </c>
      <c r="E23" s="127">
        <v>0.5</v>
      </c>
      <c r="F23" s="124" t="s">
        <v>6</v>
      </c>
      <c r="G23" s="126"/>
      <c r="H23" s="123"/>
      <c r="I23" s="125"/>
      <c r="N23" s="126"/>
      <c r="O23" s="123"/>
      <c r="P23" s="125"/>
      <c r="Q23" s="124" t="s">
        <v>428</v>
      </c>
      <c r="S23" s="195">
        <f>'3 LCA Input'!G6</f>
        <v>22</v>
      </c>
      <c r="T23" s="124" t="s">
        <v>398</v>
      </c>
      <c r="U23" s="126"/>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row>
    <row r="24" spans="1:47">
      <c r="A24" s="123"/>
      <c r="B24" s="125"/>
      <c r="C24" s="124" t="s">
        <v>429</v>
      </c>
      <c r="E24" s="194">
        <v>2</v>
      </c>
      <c r="G24" s="126"/>
      <c r="H24" s="123"/>
      <c r="I24" s="125"/>
      <c r="J24" s="124" t="s">
        <v>430</v>
      </c>
      <c r="L24" s="194">
        <f>'2 Technical Input'!N25</f>
        <v>75</v>
      </c>
      <c r="M24" s="124" t="s">
        <v>431</v>
      </c>
      <c r="N24" s="126"/>
      <c r="O24" s="123"/>
      <c r="P24" s="125"/>
      <c r="Q24" s="124" t="s">
        <v>432</v>
      </c>
      <c r="S24" s="144">
        <f>S22*S20*S21*(HLOOKUP(S19,Batteries!B1:J27,25,FALSE))</f>
        <v>12288.000000000002</v>
      </c>
      <c r="T24" s="124" t="s">
        <v>433</v>
      </c>
      <c r="U24" s="126"/>
      <c r="V24" s="123"/>
      <c r="W24" s="123"/>
      <c r="X24" s="123"/>
      <c r="Y24" s="123"/>
      <c r="Z24" s="123"/>
      <c r="AA24" s="123"/>
      <c r="AB24" s="123"/>
      <c r="AC24" s="123"/>
      <c r="AD24" s="123"/>
      <c r="AE24" s="123"/>
      <c r="AF24" s="123" t="s">
        <v>434</v>
      </c>
      <c r="AG24" s="123">
        <f>IF(L36="Straw",Biogenic!B10,0)</f>
        <v>1347.3216</v>
      </c>
      <c r="AH24" s="123"/>
      <c r="AI24" s="123"/>
      <c r="AJ24" s="123"/>
      <c r="AK24" s="123"/>
      <c r="AL24" s="123"/>
      <c r="AM24" s="123"/>
      <c r="AN24" s="123"/>
      <c r="AO24" s="123"/>
      <c r="AP24" s="123"/>
      <c r="AQ24" s="123"/>
      <c r="AR24" s="123"/>
      <c r="AS24" s="123"/>
      <c r="AT24" s="123"/>
      <c r="AU24" s="123"/>
    </row>
    <row r="25" spans="1:47">
      <c r="A25" s="123"/>
      <c r="B25" s="125"/>
      <c r="C25" s="124" t="s">
        <v>435</v>
      </c>
      <c r="E25" s="199">
        <f>'LCA calcs'!C21</f>
        <v>2.7</v>
      </c>
      <c r="F25" s="124" t="s">
        <v>6</v>
      </c>
      <c r="G25" s="126"/>
      <c r="H25" s="123"/>
      <c r="I25" s="125"/>
      <c r="J25" s="124" t="s">
        <v>430</v>
      </c>
      <c r="L25" s="145">
        <f>L24*L20</f>
        <v>450</v>
      </c>
      <c r="M25" s="124" t="s">
        <v>436</v>
      </c>
      <c r="N25" s="126"/>
      <c r="O25" s="123"/>
      <c r="P25" s="125"/>
      <c r="U25" s="126"/>
      <c r="V25" s="123"/>
      <c r="W25" s="123"/>
      <c r="X25" s="123"/>
      <c r="Y25" s="123"/>
      <c r="Z25" s="123"/>
      <c r="AA25" s="123"/>
      <c r="AB25" s="123"/>
      <c r="AC25" s="123"/>
      <c r="AD25" s="123"/>
      <c r="AE25" s="123"/>
      <c r="AF25" s="123" t="s">
        <v>437</v>
      </c>
      <c r="AG25" s="123">
        <f>Biogenic!F6</f>
        <v>717.04144512000005</v>
      </c>
      <c r="AH25" s="123"/>
      <c r="AI25" s="123"/>
      <c r="AJ25" s="123"/>
      <c r="AK25" s="123"/>
      <c r="AL25" s="123"/>
      <c r="AM25" s="123"/>
      <c r="AN25" s="123"/>
      <c r="AO25" s="123"/>
      <c r="AP25" s="123"/>
      <c r="AQ25" s="123"/>
      <c r="AR25" s="123"/>
      <c r="AS25" s="123"/>
      <c r="AT25" s="123"/>
      <c r="AU25" s="123"/>
    </row>
    <row r="26" spans="1:47">
      <c r="A26" s="123"/>
      <c r="B26" s="125"/>
      <c r="C26" s="124" t="s">
        <v>438</v>
      </c>
      <c r="E26" s="194">
        <f>'LCA calcs'!C8</f>
        <v>77</v>
      </c>
      <c r="F26" s="124" t="s">
        <v>6</v>
      </c>
      <c r="G26" s="126"/>
      <c r="H26" s="123"/>
      <c r="I26" s="125"/>
      <c r="J26" s="124" t="s">
        <v>397</v>
      </c>
      <c r="L26" s="194">
        <f>'3 LCA Input'!G8</f>
        <v>10</v>
      </c>
      <c r="M26" s="124" t="s">
        <v>398</v>
      </c>
      <c r="N26" s="126"/>
      <c r="O26" s="123"/>
      <c r="P26" s="125"/>
      <c r="Q26" s="124" t="s">
        <v>439</v>
      </c>
      <c r="S26" s="408" t="str">
        <f>'3 LCA Input'!N14</f>
        <v>Futurasun FU-400 Silk</v>
      </c>
      <c r="T26" s="409"/>
      <c r="U26" s="126"/>
      <c r="V26" s="123"/>
      <c r="W26" s="123"/>
      <c r="X26" s="123"/>
      <c r="Y26" s="123"/>
      <c r="Z26" s="123"/>
      <c r="AA26" s="123"/>
      <c r="AB26" s="123"/>
      <c r="AC26" s="123"/>
      <c r="AD26" s="123"/>
      <c r="AE26" s="123"/>
      <c r="AF26" s="123" t="s">
        <v>441</v>
      </c>
      <c r="AG26" s="123">
        <f>Biogenic!B22</f>
        <v>71.054401929608105</v>
      </c>
      <c r="AH26" s="123"/>
      <c r="AI26" s="123"/>
      <c r="AJ26" s="123"/>
      <c r="AK26" s="123"/>
      <c r="AL26" s="123"/>
      <c r="AM26" s="123"/>
      <c r="AN26" s="123"/>
      <c r="AO26" s="123"/>
      <c r="AP26" s="123"/>
      <c r="AQ26" s="123"/>
      <c r="AR26" s="123"/>
      <c r="AS26" s="123"/>
      <c r="AT26" s="123"/>
      <c r="AU26" s="123"/>
    </row>
    <row r="27" spans="1:47" ht="18" thickBot="1">
      <c r="A27" s="123"/>
      <c r="B27" s="125"/>
      <c r="C27" s="124" t="s">
        <v>442</v>
      </c>
      <c r="E27" s="200">
        <f>(4*(25.2/1000))*(4*(25.2/1000))</f>
        <v>1.016064E-2</v>
      </c>
      <c r="F27" s="124" t="s">
        <v>443</v>
      </c>
      <c r="G27" s="126"/>
      <c r="H27" s="123"/>
      <c r="I27" s="146"/>
      <c r="J27" s="147"/>
      <c r="K27" s="147"/>
      <c r="L27" s="147"/>
      <c r="M27" s="147"/>
      <c r="N27" s="148"/>
      <c r="O27" s="123"/>
      <c r="P27" s="125"/>
      <c r="Q27" s="124" t="s">
        <v>444</v>
      </c>
      <c r="S27" s="149">
        <v>1.72</v>
      </c>
      <c r="T27" s="124" t="s">
        <v>6</v>
      </c>
      <c r="U27" s="126"/>
      <c r="V27" s="123"/>
      <c r="W27" s="123"/>
      <c r="X27" s="123"/>
      <c r="Y27" s="123"/>
      <c r="Z27" s="123"/>
      <c r="AA27" s="123"/>
      <c r="AB27" s="123"/>
      <c r="AC27" s="123"/>
      <c r="AD27" s="123"/>
      <c r="AE27" s="123"/>
      <c r="AF27" s="123" t="s">
        <v>445</v>
      </c>
      <c r="AG27" s="123">
        <f>IF(E13="Timber",Biogenic!J10,0)</f>
        <v>0</v>
      </c>
      <c r="AH27" s="123"/>
      <c r="AI27" s="123"/>
      <c r="AJ27" s="123"/>
      <c r="AK27" s="123"/>
      <c r="AL27" s="123"/>
      <c r="AM27" s="123"/>
      <c r="AN27" s="123"/>
      <c r="AO27" s="123"/>
      <c r="AP27" s="123"/>
      <c r="AQ27" s="123"/>
      <c r="AR27" s="123"/>
      <c r="AS27" s="123"/>
      <c r="AT27" s="123"/>
      <c r="AU27" s="123"/>
    </row>
    <row r="28" spans="1:47" ht="15.75" thickBot="1">
      <c r="A28" s="123"/>
      <c r="B28" s="125"/>
      <c r="C28" s="124" t="s">
        <v>446</v>
      </c>
      <c r="E28" s="150">
        <v>0.1</v>
      </c>
      <c r="G28" s="126"/>
      <c r="H28" s="123"/>
      <c r="I28" s="123"/>
      <c r="J28" s="123"/>
      <c r="K28" s="123"/>
      <c r="L28" s="123"/>
      <c r="M28" s="123"/>
      <c r="N28" s="123"/>
      <c r="O28" s="123"/>
      <c r="P28" s="125"/>
      <c r="Q28" s="124" t="s">
        <v>447</v>
      </c>
      <c r="S28" s="127">
        <v>1.1299999999999999</v>
      </c>
      <c r="T28" s="124" t="s">
        <v>6</v>
      </c>
      <c r="U28" s="126"/>
      <c r="V28" s="123"/>
      <c r="W28" s="123"/>
      <c r="X28" s="123"/>
      <c r="Y28" s="123"/>
      <c r="Z28" s="123"/>
      <c r="AA28" s="123"/>
      <c r="AB28" s="123"/>
      <c r="AC28" s="123"/>
      <c r="AD28" s="123"/>
      <c r="AE28" s="123"/>
      <c r="AF28" s="123" t="s">
        <v>448</v>
      </c>
      <c r="AG28" s="123">
        <f>Biogenic!F17</f>
        <v>1045.24992</v>
      </c>
      <c r="AH28" s="123"/>
      <c r="AI28" s="123"/>
      <c r="AJ28" s="123"/>
      <c r="AK28" s="123"/>
      <c r="AL28" s="123"/>
      <c r="AM28" s="123"/>
      <c r="AN28" s="123"/>
      <c r="AO28" s="123"/>
      <c r="AP28" s="123"/>
      <c r="AQ28" s="123"/>
      <c r="AR28" s="123"/>
      <c r="AS28" s="123"/>
      <c r="AT28" s="123"/>
      <c r="AU28" s="123"/>
    </row>
    <row r="29" spans="1:47">
      <c r="A29" s="123"/>
      <c r="B29" s="125"/>
      <c r="C29" s="124" t="s">
        <v>449</v>
      </c>
      <c r="E29" s="134" t="s">
        <v>450</v>
      </c>
      <c r="G29" s="126"/>
      <c r="H29" s="123"/>
      <c r="I29" s="396" t="s">
        <v>451</v>
      </c>
      <c r="J29" s="397"/>
      <c r="K29" s="397"/>
      <c r="L29" s="397"/>
      <c r="M29" s="397"/>
      <c r="N29" s="398"/>
      <c r="O29" s="123"/>
      <c r="P29" s="125"/>
      <c r="Q29" s="124" t="s">
        <v>452</v>
      </c>
      <c r="S29" s="195">
        <f>'LCA calcs'!C15</f>
        <v>10</v>
      </c>
      <c r="U29" s="126"/>
      <c r="V29" s="123"/>
      <c r="W29" s="123"/>
      <c r="X29" s="123"/>
      <c r="Y29" s="123"/>
      <c r="Z29" s="123"/>
      <c r="AA29" s="123"/>
      <c r="AB29" s="123"/>
      <c r="AC29" s="123"/>
      <c r="AD29" s="123"/>
      <c r="AE29" s="123"/>
      <c r="AF29" s="123" t="s">
        <v>453</v>
      </c>
      <c r="AG29" s="123">
        <f>-O89</f>
        <v>51.324000000000005</v>
      </c>
      <c r="AH29" s="123"/>
      <c r="AI29" s="123"/>
      <c r="AJ29" s="123"/>
      <c r="AK29" s="123"/>
      <c r="AL29" s="123"/>
      <c r="AM29" s="123"/>
      <c r="AN29" s="123"/>
      <c r="AO29" s="123"/>
      <c r="AP29" s="123"/>
      <c r="AQ29" s="123"/>
      <c r="AR29" s="123"/>
      <c r="AS29" s="123"/>
      <c r="AT29" s="123"/>
      <c r="AU29" s="123"/>
    </row>
    <row r="30" spans="1:47">
      <c r="A30" s="123"/>
      <c r="B30" s="125"/>
      <c r="G30" s="126"/>
      <c r="H30" s="123"/>
      <c r="I30" s="125"/>
      <c r="N30" s="126"/>
      <c r="O30" s="123"/>
      <c r="P30" s="125"/>
      <c r="Q30" s="124" t="s">
        <v>454</v>
      </c>
      <c r="S30" s="194">
        <f>'3 LCA Input'!G7</f>
        <v>20</v>
      </c>
      <c r="T30" s="124" t="s">
        <v>398</v>
      </c>
      <c r="U30" s="126"/>
      <c r="V30" s="123"/>
      <c r="W30" s="123"/>
      <c r="X30" s="123"/>
      <c r="Y30" s="123"/>
      <c r="Z30" s="123"/>
      <c r="AA30" s="123"/>
      <c r="AB30" s="123"/>
      <c r="AC30" s="123"/>
      <c r="AD30" s="123"/>
      <c r="AE30" s="123"/>
      <c r="AF30" s="123"/>
      <c r="AG30" s="123"/>
      <c r="AH30" s="123"/>
      <c r="AI30" s="123"/>
      <c r="AJ30" s="123"/>
      <c r="AK30" s="123"/>
      <c r="AL30" s="123"/>
      <c r="AM30" s="123"/>
      <c r="AN30" s="123"/>
      <c r="AO30" s="123"/>
      <c r="AP30" s="123"/>
      <c r="AQ30" s="123"/>
      <c r="AR30" s="123"/>
      <c r="AS30" s="123"/>
      <c r="AT30" s="123"/>
      <c r="AU30" s="123"/>
    </row>
    <row r="31" spans="1:47">
      <c r="A31" s="123"/>
      <c r="B31" s="125"/>
      <c r="C31" s="124" t="s">
        <v>455</v>
      </c>
      <c r="E31" s="134" t="s">
        <v>456</v>
      </c>
      <c r="G31" s="126"/>
      <c r="H31" s="123"/>
      <c r="I31" s="125"/>
      <c r="J31" s="124" t="s">
        <v>457</v>
      </c>
      <c r="L31" s="195">
        <f>'4 Technical Design Output'!E15</f>
        <v>313</v>
      </c>
      <c r="M31" s="124" t="s">
        <v>458</v>
      </c>
      <c r="N31" s="126"/>
      <c r="O31" s="123"/>
      <c r="P31" s="125"/>
      <c r="Q31" s="124" t="s">
        <v>459</v>
      </c>
      <c r="S31" s="145">
        <f>S29*HLOOKUP('6 LCA'!S26,PV!B1:E24,22,FALSE)</f>
        <v>4100</v>
      </c>
      <c r="T31" s="124" t="s">
        <v>32</v>
      </c>
      <c r="U31" s="126"/>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c r="AU31" s="123"/>
    </row>
    <row r="32" spans="1:47" ht="18" thickBot="1">
      <c r="A32" s="123"/>
      <c r="B32" s="125"/>
      <c r="C32" s="124" t="s">
        <v>460</v>
      </c>
      <c r="E32" s="194">
        <f>'LCA calcs'!C9</f>
        <v>52.86</v>
      </c>
      <c r="F32" s="124" t="s">
        <v>443</v>
      </c>
      <c r="G32" s="126"/>
      <c r="H32" s="123"/>
      <c r="I32" s="128"/>
      <c r="J32" s="129"/>
      <c r="K32" s="129"/>
      <c r="L32" s="129"/>
      <c r="M32" s="129"/>
      <c r="N32" s="130"/>
      <c r="O32" s="123"/>
      <c r="P32" s="128"/>
      <c r="Q32" s="129"/>
      <c r="R32" s="129"/>
      <c r="S32" s="129"/>
      <c r="T32" s="129"/>
      <c r="U32" s="130"/>
      <c r="V32" s="123"/>
      <c r="W32" s="123"/>
      <c r="X32" s="123"/>
      <c r="Y32" s="123"/>
      <c r="Z32" s="123"/>
      <c r="AA32" s="123"/>
      <c r="AB32" s="123"/>
      <c r="AC32" s="123"/>
      <c r="AD32" s="123"/>
      <c r="AE32" s="123"/>
      <c r="AF32" s="123"/>
      <c r="AG32" s="123"/>
      <c r="AH32" s="123"/>
      <c r="AI32" s="123"/>
      <c r="AJ32" s="123"/>
      <c r="AK32" s="123"/>
      <c r="AL32" s="123"/>
      <c r="AM32" s="123"/>
      <c r="AN32" s="123"/>
      <c r="AO32" s="123"/>
      <c r="AP32" s="123"/>
      <c r="AQ32" s="123"/>
      <c r="AR32" s="123"/>
      <c r="AS32" s="123"/>
      <c r="AT32" s="123"/>
      <c r="AU32" s="123"/>
    </row>
    <row r="33" spans="1:47" ht="15.75" thickBot="1">
      <c r="A33" s="123"/>
      <c r="B33" s="125"/>
      <c r="C33" s="124" t="s">
        <v>461</v>
      </c>
      <c r="E33" s="127">
        <v>300</v>
      </c>
      <c r="F33" s="124" t="s">
        <v>462</v>
      </c>
      <c r="G33" s="126"/>
      <c r="H33" s="123"/>
      <c r="I33" s="123"/>
      <c r="J33" s="123"/>
      <c r="K33" s="123"/>
      <c r="L33" s="123"/>
      <c r="M33" s="123"/>
      <c r="N33" s="123"/>
      <c r="O33" s="123"/>
      <c r="P33" s="151"/>
      <c r="Q33" s="151"/>
      <c r="R33" s="151"/>
      <c r="S33" s="151"/>
      <c r="T33" s="151"/>
      <c r="U33" s="151"/>
      <c r="V33" s="123"/>
      <c r="W33" s="123"/>
      <c r="X33" s="123"/>
      <c r="Y33" s="123"/>
      <c r="Z33" s="123"/>
      <c r="AA33" s="123"/>
      <c r="AB33" s="123"/>
      <c r="AC33" s="123"/>
      <c r="AD33" s="123"/>
      <c r="AE33" s="123"/>
      <c r="AF33" s="123"/>
      <c r="AG33" s="123"/>
      <c r="AH33" s="123"/>
      <c r="AI33" s="123"/>
      <c r="AJ33" s="123"/>
      <c r="AK33" s="123"/>
      <c r="AL33" s="123"/>
      <c r="AM33" s="123"/>
      <c r="AN33" s="123"/>
      <c r="AO33" s="123"/>
      <c r="AP33" s="123"/>
      <c r="AQ33" s="123"/>
      <c r="AR33" s="123"/>
      <c r="AS33" s="123"/>
      <c r="AT33" s="123"/>
      <c r="AU33" s="123"/>
    </row>
    <row r="34" spans="1:47">
      <c r="A34" s="123"/>
      <c r="B34" s="125"/>
      <c r="G34" s="126"/>
      <c r="H34" s="123"/>
      <c r="I34" s="396" t="s">
        <v>463</v>
      </c>
      <c r="J34" s="397"/>
      <c r="K34" s="397"/>
      <c r="L34" s="397"/>
      <c r="M34" s="397"/>
      <c r="N34" s="398"/>
      <c r="O34" s="123"/>
      <c r="P34" s="399" t="s">
        <v>464</v>
      </c>
      <c r="Q34" s="400"/>
      <c r="R34" s="400"/>
      <c r="S34" s="400"/>
      <c r="T34" s="400"/>
      <c r="U34" s="401"/>
      <c r="V34" s="123"/>
      <c r="W34" s="123"/>
      <c r="X34" s="123"/>
      <c r="Y34" s="123"/>
      <c r="Z34" s="123"/>
      <c r="AA34" s="123"/>
      <c r="AB34" s="123"/>
      <c r="AC34" s="123"/>
      <c r="AD34" s="123"/>
      <c r="AE34" s="123"/>
      <c r="AF34" s="123"/>
      <c r="AG34" s="123"/>
      <c r="AH34" s="123"/>
      <c r="AI34" s="123"/>
      <c r="AJ34" s="123"/>
      <c r="AK34" s="123"/>
      <c r="AL34" s="123"/>
      <c r="AM34" s="123"/>
      <c r="AN34" s="123"/>
      <c r="AO34" s="123"/>
      <c r="AP34" s="123"/>
      <c r="AQ34" s="123"/>
      <c r="AR34" s="123"/>
      <c r="AS34" s="123"/>
      <c r="AT34" s="123"/>
      <c r="AU34" s="123"/>
    </row>
    <row r="35" spans="1:47" ht="18" thickBot="1">
      <c r="A35" s="123"/>
      <c r="B35" s="125"/>
      <c r="C35" s="124" t="s">
        <v>465</v>
      </c>
      <c r="E35" s="194">
        <f>'LCA calcs'!C4</f>
        <v>24.360000000000003</v>
      </c>
      <c r="F35" s="124" t="s">
        <v>443</v>
      </c>
      <c r="G35" s="126"/>
      <c r="H35" s="123"/>
      <c r="I35" s="125"/>
      <c r="N35" s="126"/>
      <c r="O35" s="123"/>
      <c r="P35" s="131"/>
      <c r="Q35" s="132"/>
      <c r="R35" s="132"/>
      <c r="S35" s="132"/>
      <c r="T35" s="132"/>
      <c r="U35" s="133"/>
      <c r="V35" s="123"/>
      <c r="W35" s="123"/>
      <c r="X35" s="123"/>
      <c r="Y35" s="123"/>
      <c r="Z35" s="123"/>
      <c r="AA35" s="123"/>
      <c r="AB35" s="123"/>
      <c r="AC35" s="123"/>
      <c r="AD35" s="123"/>
      <c r="AE35" s="123"/>
      <c r="AF35" s="123"/>
      <c r="AG35" s="123"/>
      <c r="AH35" s="123"/>
      <c r="AI35" s="123"/>
      <c r="AJ35" s="123"/>
      <c r="AK35" s="123"/>
      <c r="AL35" s="123"/>
      <c r="AM35" s="123"/>
      <c r="AN35" s="123"/>
      <c r="AO35" s="123"/>
      <c r="AP35" s="123"/>
      <c r="AQ35" s="123"/>
      <c r="AR35" s="123"/>
      <c r="AS35" s="123"/>
      <c r="AT35" s="123"/>
      <c r="AU35" s="123"/>
    </row>
    <row r="36" spans="1:47">
      <c r="A36" s="123"/>
      <c r="B36" s="125"/>
      <c r="C36" s="124" t="s">
        <v>466</v>
      </c>
      <c r="E36" s="127">
        <v>200</v>
      </c>
      <c r="F36" s="124" t="s">
        <v>403</v>
      </c>
      <c r="G36" s="126"/>
      <c r="H36" s="123"/>
      <c r="I36" s="125"/>
      <c r="J36" s="124" t="s">
        <v>467</v>
      </c>
      <c r="L36" s="194" t="str">
        <f>'2 Technical Input'!G32</f>
        <v>Straw</v>
      </c>
      <c r="N36" s="126"/>
      <c r="O36" s="123"/>
      <c r="P36" s="131"/>
      <c r="Q36" s="132" t="s">
        <v>468</v>
      </c>
      <c r="R36" s="132"/>
      <c r="S36" s="194">
        <f>'3 LCA Input'!G26</f>
        <v>2000</v>
      </c>
      <c r="T36" s="132" t="s">
        <v>469</v>
      </c>
      <c r="U36" s="133"/>
      <c r="V36" s="123"/>
      <c r="W36" s="152"/>
      <c r="X36" s="153"/>
      <c r="Y36" s="137"/>
      <c r="Z36" s="137"/>
      <c r="AA36" s="137"/>
      <c r="AB36" s="137"/>
      <c r="AC36" s="137"/>
      <c r="AD36" s="154"/>
      <c r="AE36" s="123"/>
      <c r="AF36" s="123"/>
      <c r="AG36" s="123"/>
      <c r="AH36" s="123"/>
      <c r="AI36" s="123"/>
      <c r="AJ36" s="123"/>
      <c r="AK36" s="123"/>
      <c r="AL36" s="123"/>
      <c r="AM36" s="123"/>
      <c r="AN36" s="123"/>
      <c r="AO36" s="123"/>
      <c r="AP36" s="123"/>
      <c r="AQ36" s="123"/>
      <c r="AR36" s="123"/>
      <c r="AS36" s="123"/>
      <c r="AT36" s="123"/>
      <c r="AU36" s="123"/>
    </row>
    <row r="37" spans="1:47">
      <c r="A37" s="123"/>
      <c r="B37" s="125"/>
      <c r="C37" s="124" t="s">
        <v>470</v>
      </c>
      <c r="E37" s="127">
        <v>20</v>
      </c>
      <c r="F37" s="124" t="s">
        <v>403</v>
      </c>
      <c r="G37" s="126"/>
      <c r="H37" s="123"/>
      <c r="I37" s="125"/>
      <c r="J37" s="124" t="s">
        <v>471</v>
      </c>
      <c r="L37" s="145">
        <f>'2 Technical Input'!G30</f>
        <v>0.3</v>
      </c>
      <c r="M37" s="124" t="s">
        <v>6</v>
      </c>
      <c r="N37" s="126"/>
      <c r="O37" s="123"/>
      <c r="P37" s="131"/>
      <c r="Q37" s="132" t="s">
        <v>472</v>
      </c>
      <c r="R37" s="132"/>
      <c r="S37" s="194" t="str">
        <f>'3 LCA Input'!G27</f>
        <v>PE</v>
      </c>
      <c r="T37" s="132"/>
      <c r="U37" s="133"/>
      <c r="V37" s="123"/>
      <c r="W37" s="425" t="s">
        <v>474</v>
      </c>
      <c r="X37" s="426"/>
      <c r="Y37" s="394" t="s">
        <v>475</v>
      </c>
      <c r="Z37" s="394"/>
      <c r="AA37" s="394" t="s">
        <v>476</v>
      </c>
      <c r="AB37" s="394"/>
      <c r="AC37" s="394" t="s">
        <v>477</v>
      </c>
      <c r="AD37" s="395"/>
      <c r="AE37" s="123"/>
      <c r="AF37" s="123"/>
      <c r="AG37" s="123"/>
      <c r="AH37" s="123"/>
      <c r="AI37" s="123"/>
      <c r="AJ37" s="123"/>
      <c r="AK37" s="123"/>
      <c r="AL37" s="123"/>
      <c r="AM37" s="123"/>
      <c r="AN37" s="123"/>
      <c r="AO37" s="123"/>
      <c r="AP37" s="123"/>
      <c r="AQ37" s="123"/>
      <c r="AR37" s="123"/>
      <c r="AS37" s="123"/>
      <c r="AT37" s="123"/>
      <c r="AU37" s="123"/>
    </row>
    <row r="38" spans="1:47" ht="18">
      <c r="A38" s="123"/>
      <c r="B38" s="125"/>
      <c r="G38" s="126"/>
      <c r="H38" s="123"/>
      <c r="I38" s="125"/>
      <c r="J38" s="124" t="s">
        <v>478</v>
      </c>
      <c r="L38" s="194">
        <f>'LCA calcs'!C5</f>
        <v>6</v>
      </c>
      <c r="N38" s="126"/>
      <c r="O38" s="123"/>
      <c r="P38" s="131"/>
      <c r="Q38" s="132" t="s">
        <v>479</v>
      </c>
      <c r="R38" s="132"/>
      <c r="S38" s="194">
        <f>'3 LCA Input'!G28</f>
        <v>2</v>
      </c>
      <c r="T38" s="132" t="s">
        <v>6</v>
      </c>
      <c r="U38" s="133"/>
      <c r="V38" s="123"/>
      <c r="W38" s="155">
        <f>I14</f>
        <v>5914.9924419583031</v>
      </c>
      <c r="X38" s="156" t="s">
        <v>405</v>
      </c>
      <c r="Y38" s="157">
        <f>L25+L31</f>
        <v>763</v>
      </c>
      <c r="Z38" s="157" t="s">
        <v>458</v>
      </c>
      <c r="AA38" s="158">
        <f>S24</f>
        <v>12288.000000000002</v>
      </c>
      <c r="AB38" s="157" t="s">
        <v>433</v>
      </c>
      <c r="AC38" s="157">
        <f>S31</f>
        <v>4100</v>
      </c>
      <c r="AD38" s="159" t="s">
        <v>480</v>
      </c>
      <c r="AE38" s="123"/>
      <c r="AF38" s="123"/>
      <c r="AG38" s="123"/>
      <c r="AH38" s="123"/>
      <c r="AI38" s="123"/>
      <c r="AJ38" s="123"/>
      <c r="AK38" s="123"/>
      <c r="AL38" s="123"/>
      <c r="AM38" s="123"/>
      <c r="AN38" s="123"/>
      <c r="AO38" s="123"/>
      <c r="AP38" s="123"/>
      <c r="AQ38" s="123"/>
      <c r="AR38" s="123"/>
      <c r="AS38" s="123"/>
      <c r="AT38" s="123"/>
      <c r="AU38" s="123"/>
    </row>
    <row r="39" spans="1:47" ht="15.75" thickBot="1">
      <c r="A39" s="123"/>
      <c r="B39" s="128"/>
      <c r="C39" s="129"/>
      <c r="D39" s="129"/>
      <c r="E39" s="129"/>
      <c r="F39" s="129"/>
      <c r="G39" s="130"/>
      <c r="H39" s="123"/>
      <c r="I39" s="128"/>
      <c r="J39" s="129"/>
      <c r="K39" s="129"/>
      <c r="L39" s="129"/>
      <c r="M39" s="129"/>
      <c r="N39" s="130"/>
      <c r="O39" s="123"/>
      <c r="P39" s="146"/>
      <c r="Q39" s="147"/>
      <c r="R39" s="147"/>
      <c r="S39" s="147"/>
      <c r="T39" s="147"/>
      <c r="U39" s="148"/>
      <c r="V39" s="123"/>
      <c r="W39" s="160"/>
      <c r="X39" s="161"/>
      <c r="Y39" s="140"/>
      <c r="Z39" s="140"/>
      <c r="AA39" s="140"/>
      <c r="AB39" s="140"/>
      <c r="AC39" s="140"/>
      <c r="AD39" s="162"/>
      <c r="AE39" s="123"/>
      <c r="AF39" s="123"/>
      <c r="AG39" s="123"/>
      <c r="AH39" s="123"/>
      <c r="AI39" s="123"/>
      <c r="AJ39" s="123"/>
      <c r="AK39" s="123"/>
      <c r="AL39" s="123"/>
      <c r="AM39" s="123"/>
      <c r="AN39" s="123"/>
      <c r="AO39" s="123"/>
      <c r="AP39" s="123"/>
      <c r="AQ39" s="123"/>
      <c r="AR39" s="123"/>
      <c r="AS39" s="123"/>
      <c r="AT39" s="123"/>
      <c r="AU39" s="123"/>
    </row>
    <row r="40" spans="1:47" ht="15.75" thickBot="1">
      <c r="A40" s="123"/>
      <c r="B40" s="123"/>
      <c r="C40" s="123"/>
      <c r="D40" s="123"/>
      <c r="E40" s="123"/>
      <c r="F40" s="123"/>
      <c r="G40" s="123"/>
      <c r="H40" s="123"/>
      <c r="I40" s="123"/>
      <c r="J40" s="123"/>
      <c r="K40" s="123"/>
      <c r="L40" s="123"/>
      <c r="M40" s="123"/>
      <c r="N40" s="123"/>
      <c r="O40" s="123"/>
      <c r="P40" s="123"/>
      <c r="Q40" s="123"/>
      <c r="R40" s="123"/>
      <c r="S40" s="123"/>
      <c r="T40" s="123"/>
      <c r="U40" s="123"/>
      <c r="V40" s="123"/>
      <c r="W40" s="123"/>
      <c r="X40" s="123"/>
      <c r="Y40" s="123"/>
      <c r="Z40" s="123"/>
      <c r="AA40" s="123"/>
      <c r="AB40" s="123"/>
      <c r="AC40" s="123"/>
      <c r="AD40" s="123"/>
      <c r="AE40" s="123"/>
      <c r="AF40" s="123"/>
      <c r="AG40" s="123"/>
      <c r="AH40" s="123"/>
      <c r="AI40" s="123"/>
      <c r="AJ40" s="123"/>
      <c r="AK40" s="123"/>
      <c r="AL40" s="123"/>
      <c r="AM40" s="123"/>
      <c r="AN40" s="123"/>
      <c r="AO40" s="123"/>
      <c r="AP40" s="123"/>
      <c r="AQ40" s="123"/>
      <c r="AR40" s="123"/>
      <c r="AS40" s="123"/>
      <c r="AT40" s="123"/>
      <c r="AU40" s="123"/>
    </row>
    <row r="41" spans="1:47">
      <c r="A41" s="123"/>
      <c r="B41" s="396" t="s">
        <v>481</v>
      </c>
      <c r="C41" s="397"/>
      <c r="D41" s="397"/>
      <c r="E41" s="397"/>
      <c r="F41" s="397"/>
      <c r="G41" s="398"/>
      <c r="H41" s="123"/>
      <c r="I41" s="399" t="s">
        <v>482</v>
      </c>
      <c r="J41" s="400"/>
      <c r="K41" s="400"/>
      <c r="L41" s="400"/>
      <c r="M41" s="400"/>
      <c r="N41" s="400"/>
      <c r="O41" s="163"/>
      <c r="P41" s="163"/>
      <c r="Q41" s="163"/>
      <c r="R41" s="163"/>
      <c r="S41" s="163"/>
      <c r="T41" s="163"/>
      <c r="U41" s="164"/>
      <c r="V41" s="123"/>
      <c r="W41" s="399" t="s">
        <v>483</v>
      </c>
      <c r="X41" s="400"/>
      <c r="Y41" s="400"/>
      <c r="Z41" s="400"/>
      <c r="AA41" s="400"/>
      <c r="AB41" s="400"/>
      <c r="AC41" s="400"/>
      <c r="AD41" s="401"/>
      <c r="AE41" s="123"/>
      <c r="AF41" s="123"/>
      <c r="AG41" s="123"/>
      <c r="AH41" s="123"/>
      <c r="AI41" s="123"/>
      <c r="AJ41" s="123"/>
      <c r="AK41" s="123"/>
      <c r="AL41" s="123"/>
      <c r="AM41" s="123"/>
      <c r="AN41" s="123"/>
      <c r="AO41" s="123"/>
      <c r="AP41" s="123"/>
      <c r="AQ41" s="123"/>
      <c r="AR41" s="123"/>
      <c r="AS41" s="123"/>
      <c r="AT41" s="123"/>
      <c r="AU41" s="123"/>
    </row>
    <row r="42" spans="1:47">
      <c r="A42" s="123"/>
      <c r="B42" s="125"/>
      <c r="G42" s="126"/>
      <c r="H42" s="123"/>
      <c r="I42" s="131"/>
      <c r="J42" s="165"/>
      <c r="L42" s="166" t="s">
        <v>484</v>
      </c>
      <c r="M42" s="418" t="s">
        <v>485</v>
      </c>
      <c r="N42" s="418"/>
      <c r="O42" s="166" t="s">
        <v>486</v>
      </c>
      <c r="P42" s="166" t="s">
        <v>487</v>
      </c>
      <c r="Q42" s="166" t="s">
        <v>486</v>
      </c>
      <c r="R42" s="166" t="s">
        <v>488</v>
      </c>
      <c r="S42" s="166" t="s">
        <v>486</v>
      </c>
      <c r="T42" s="132" t="s">
        <v>405</v>
      </c>
      <c r="U42" s="133" t="s">
        <v>15</v>
      </c>
      <c r="V42" s="123"/>
      <c r="W42" s="131"/>
      <c r="X42" s="132"/>
      <c r="Y42" s="132"/>
      <c r="Z42" s="132"/>
      <c r="AA42" s="132"/>
      <c r="AB42" s="132"/>
      <c r="AC42" s="132"/>
      <c r="AD42" s="133"/>
      <c r="AE42" s="123"/>
      <c r="AF42" s="123"/>
      <c r="AG42" s="123"/>
      <c r="AH42" s="123"/>
      <c r="AI42" s="123"/>
      <c r="AJ42" s="123"/>
      <c r="AK42" s="123"/>
      <c r="AL42" s="123"/>
      <c r="AM42" s="123"/>
      <c r="AN42" s="123"/>
      <c r="AO42" s="123"/>
      <c r="AP42" s="123" t="s">
        <v>405</v>
      </c>
      <c r="AQ42" s="167" t="s">
        <v>15</v>
      </c>
      <c r="AR42" s="123"/>
      <c r="AS42" s="123"/>
      <c r="AT42" s="123"/>
      <c r="AU42" s="123"/>
    </row>
    <row r="43" spans="1:47">
      <c r="A43" s="123"/>
      <c r="B43" s="125"/>
      <c r="C43" s="124" t="s">
        <v>489</v>
      </c>
      <c r="E43" s="194" t="str">
        <f>'3 LCA Input'!G31</f>
        <v>Yes</v>
      </c>
      <c r="G43" s="126"/>
      <c r="H43" s="123"/>
      <c r="I43" s="131"/>
      <c r="J43" s="132" t="s">
        <v>445</v>
      </c>
      <c r="K43" s="168" t="s">
        <v>490</v>
      </c>
      <c r="L43" s="169">
        <f>E17*E16*E15*(E14/1000)*Ecoboards!E4</f>
        <v>775.00799999999992</v>
      </c>
      <c r="M43" s="416" t="str">
        <f>'3 LCA Input'!M20</f>
        <v>Road (Africa)</v>
      </c>
      <c r="N43" s="417"/>
      <c r="O43" s="194">
        <f>'3 LCA Input'!O20</f>
        <v>341</v>
      </c>
      <c r="P43" s="194" t="str">
        <f>'3 LCA Input'!P20</f>
        <v>None</v>
      </c>
      <c r="Q43" s="194">
        <f>'3 LCA Input'!Q20</f>
        <v>0</v>
      </c>
      <c r="R43" s="194" t="str">
        <f>'3 LCA Input'!R20</f>
        <v>None</v>
      </c>
      <c r="S43" s="194">
        <f>'3 LCA Input'!S20</f>
        <v>0</v>
      </c>
      <c r="T43" s="132">
        <f>L43*((VLOOKUP(M43,Transport!B$2:C$8,2,FALSE)*O43)+(VLOOKUP(P43,Transport!B$2:C$8,2,FALSE)*Q43)+(VLOOKUP(R43,Transport!B$2:C$8,2,FALSE)*S43))</f>
        <v>52.855545599999992</v>
      </c>
      <c r="U43" s="170">
        <f>T43/(SUM(T$43:T$52))</f>
        <v>0.21145445800823737</v>
      </c>
      <c r="V43" s="123"/>
      <c r="W43" s="131"/>
      <c r="X43" s="132" t="s">
        <v>493</v>
      </c>
      <c r="Y43" s="132"/>
      <c r="Z43" s="132"/>
      <c r="AA43" s="134">
        <v>0</v>
      </c>
      <c r="AB43" s="132" t="s">
        <v>494</v>
      </c>
      <c r="AC43" s="132"/>
      <c r="AD43" s="133"/>
      <c r="AE43" s="123"/>
      <c r="AF43" s="123"/>
      <c r="AG43" s="123"/>
      <c r="AH43" s="123"/>
      <c r="AI43" s="123"/>
      <c r="AJ43" s="123"/>
      <c r="AK43" s="123"/>
      <c r="AL43" s="123"/>
      <c r="AM43" s="123"/>
      <c r="AN43" s="123"/>
      <c r="AO43" s="123" t="s">
        <v>445</v>
      </c>
      <c r="AP43" s="123">
        <v>56.002129919999987</v>
      </c>
      <c r="AQ43" s="167">
        <v>0.23153010341661612</v>
      </c>
      <c r="AR43" s="123"/>
      <c r="AS43" s="123"/>
      <c r="AT43" s="123"/>
      <c r="AU43" s="123"/>
    </row>
    <row r="44" spans="1:47">
      <c r="A44" s="123"/>
      <c r="B44" s="125"/>
      <c r="C44" s="124" t="s">
        <v>495</v>
      </c>
      <c r="E44" s="194">
        <f>'3 LCA Input'!G32</f>
        <v>2020</v>
      </c>
      <c r="F44" s="124" t="s">
        <v>403</v>
      </c>
      <c r="G44" s="126"/>
      <c r="H44" s="123"/>
      <c r="I44" s="131"/>
      <c r="J44" s="132" t="s">
        <v>496</v>
      </c>
      <c r="K44" s="132"/>
      <c r="L44" s="169">
        <f>IF(E19="with cement",(((E20+E21)*E22*E23*E24)*1),0)*F64</f>
        <v>0</v>
      </c>
      <c r="M44" s="416" t="str">
        <f>'3 LCA Input'!M21</f>
        <v>Road (Africa)</v>
      </c>
      <c r="N44" s="417"/>
      <c r="O44" s="194">
        <f>'3 LCA Input'!O21</f>
        <v>50</v>
      </c>
      <c r="P44" s="194" t="str">
        <f>'3 LCA Input'!P21</f>
        <v>None</v>
      </c>
      <c r="Q44" s="194">
        <f>'3 LCA Input'!Q21</f>
        <v>0</v>
      </c>
      <c r="R44" s="194" t="str">
        <f>'3 LCA Input'!R21</f>
        <v>None</v>
      </c>
      <c r="S44" s="194">
        <f>'3 LCA Input'!S21</f>
        <v>0</v>
      </c>
      <c r="T44" s="132">
        <f>L44*((VLOOKUP(M44,Transport!B$2:C$8,2,FALSE)*O44)+(VLOOKUP(P44,Transport!B$2:C$8,2,FALSE)*Q44)+(VLOOKUP(R44,Transport!B$2:C$8,2,FALSE)*S44))</f>
        <v>0</v>
      </c>
      <c r="U44" s="170">
        <f t="shared" ref="U44:U52" si="0">T44/(SUM(T$43:T$52))</f>
        <v>0</v>
      </c>
      <c r="V44" s="123"/>
      <c r="W44" s="131"/>
      <c r="X44" s="132" t="s">
        <v>497</v>
      </c>
      <c r="Y44" s="132"/>
      <c r="Z44" s="132"/>
      <c r="AA44" s="171">
        <f>(AA43/100)*'6 LCA'!D72</f>
        <v>0</v>
      </c>
      <c r="AB44" s="132" t="s">
        <v>405</v>
      </c>
      <c r="AC44" s="132"/>
      <c r="AD44" s="133"/>
      <c r="AE44" s="123"/>
      <c r="AF44" s="123"/>
      <c r="AG44" s="123"/>
      <c r="AH44" s="123"/>
      <c r="AI44" s="123"/>
      <c r="AJ44" s="123"/>
      <c r="AK44" s="123"/>
      <c r="AL44" s="123"/>
      <c r="AM44" s="123"/>
      <c r="AN44" s="123"/>
      <c r="AO44" s="123" t="s">
        <v>496</v>
      </c>
      <c r="AP44" s="123">
        <v>33.75</v>
      </c>
      <c r="AQ44" s="167">
        <v>0.13953292493470212</v>
      </c>
      <c r="AR44" s="123"/>
      <c r="AS44" s="123"/>
      <c r="AT44" s="123"/>
      <c r="AU44" s="123"/>
    </row>
    <row r="45" spans="1:47">
      <c r="A45" s="123"/>
      <c r="B45" s="125"/>
      <c r="C45" s="124" t="s">
        <v>498</v>
      </c>
      <c r="E45" s="194">
        <f>'3 LCA Input'!G33</f>
        <v>845</v>
      </c>
      <c r="F45" s="124" t="s">
        <v>403</v>
      </c>
      <c r="G45" s="126"/>
      <c r="H45" s="123"/>
      <c r="I45" s="131"/>
      <c r="J45" s="132" t="s">
        <v>437</v>
      </c>
      <c r="K45" s="132"/>
      <c r="L45" s="172">
        <f>C65*F65</f>
        <v>430.30310400000008</v>
      </c>
      <c r="M45" s="416" t="str">
        <f>'3 LCA Input'!M22</f>
        <v>Road (Africa)</v>
      </c>
      <c r="N45" s="417"/>
      <c r="O45" s="194">
        <f>'3 LCA Input'!O22</f>
        <v>50</v>
      </c>
      <c r="P45" s="194" t="str">
        <f>'3 LCA Input'!P22</f>
        <v>None</v>
      </c>
      <c r="Q45" s="194">
        <f>'3 LCA Input'!Q22</f>
        <v>0</v>
      </c>
      <c r="R45" s="194" t="str">
        <f>'3 LCA Input'!R22</f>
        <v>None</v>
      </c>
      <c r="S45" s="194">
        <f>'3 LCA Input'!S22</f>
        <v>0</v>
      </c>
      <c r="T45" s="132">
        <f>L45*((VLOOKUP(M45,Transport!B$2:C$8,2,FALSE)*O45)+(VLOOKUP(P45,Transport!B$2:C$8,2,FALSE)*Q45)+(VLOOKUP(R45,Transport!B$2:C$8,2,FALSE)*S45))</f>
        <v>4.3030310400000005</v>
      </c>
      <c r="U45" s="170">
        <f t="shared" si="0"/>
        <v>1.7214751754559925E-2</v>
      </c>
      <c r="V45" s="123"/>
      <c r="W45" s="131"/>
      <c r="X45" s="132"/>
      <c r="Y45" s="132"/>
      <c r="Z45" s="132"/>
      <c r="AA45" s="132"/>
      <c r="AB45" s="132"/>
      <c r="AC45" s="132"/>
      <c r="AD45" s="133"/>
      <c r="AE45" s="123"/>
      <c r="AF45" s="123"/>
      <c r="AG45" s="123"/>
      <c r="AH45" s="123"/>
      <c r="AI45" s="123"/>
      <c r="AJ45" s="123"/>
      <c r="AK45" s="123"/>
      <c r="AL45" s="123"/>
      <c r="AM45" s="123"/>
      <c r="AN45" s="123"/>
      <c r="AO45" s="123" t="s">
        <v>437</v>
      </c>
      <c r="AP45" s="123">
        <v>3.6324288000000009</v>
      </c>
      <c r="AQ45" s="167">
        <v>1.5017582669068155E-2</v>
      </c>
      <c r="AR45" s="123"/>
      <c r="AS45" s="123"/>
      <c r="AT45" s="123"/>
      <c r="AU45" s="123"/>
    </row>
    <row r="46" spans="1:47">
      <c r="A46" s="123"/>
      <c r="B46" s="125"/>
      <c r="C46" s="124" t="s">
        <v>499</v>
      </c>
      <c r="E46" s="194" t="str">
        <f>'3 LCA Input'!G34</f>
        <v>Ecoboard (plastic)</v>
      </c>
      <c r="G46" s="126"/>
      <c r="H46" s="123"/>
      <c r="I46" s="131"/>
      <c r="J46" s="132" t="s">
        <v>481</v>
      </c>
      <c r="K46" s="132"/>
      <c r="L46" s="172">
        <f>(1.25*Doors!B54)</f>
        <v>216.34957499999999</v>
      </c>
      <c r="M46" s="416" t="str">
        <f>'3 LCA Input'!M23</f>
        <v>Road (EU)</v>
      </c>
      <c r="N46" s="417"/>
      <c r="O46" s="194">
        <f>'3 LCA Input'!O23</f>
        <v>740</v>
      </c>
      <c r="P46" s="194" t="str">
        <f>'3 LCA Input'!P23</f>
        <v>Sea</v>
      </c>
      <c r="Q46" s="194">
        <f>'3 LCA Input'!Q23</f>
        <v>11600</v>
      </c>
      <c r="R46" s="194" t="str">
        <f>'3 LCA Input'!R23</f>
        <v>Road (Africa)</v>
      </c>
      <c r="S46" s="194">
        <f>'3 LCA Input'!S23</f>
        <v>827</v>
      </c>
      <c r="T46" s="132">
        <f>L46*((VLOOKUP(M46,Transport!B$2:C$8,2,FALSE)*O46)+(VLOOKUP(P46,Transport!B$2:C$8,2,FALSE)*Q46)+(VLOOKUP(R46,Transport!B$2:C$8,2,FALSE)*S46))</f>
        <v>92.143768615547998</v>
      </c>
      <c r="U46" s="170">
        <f t="shared" si="0"/>
        <v>0.3686313409550187</v>
      </c>
      <c r="V46" s="123"/>
      <c r="W46" s="131"/>
      <c r="X46" s="132"/>
      <c r="Y46" s="132"/>
      <c r="Z46" s="132"/>
      <c r="AA46" s="132"/>
      <c r="AB46" s="132"/>
      <c r="AC46" s="132"/>
      <c r="AD46" s="133"/>
      <c r="AE46" s="123"/>
      <c r="AF46" s="123"/>
      <c r="AG46" s="123"/>
      <c r="AH46" s="123"/>
      <c r="AI46" s="123"/>
      <c r="AJ46" s="123"/>
      <c r="AK46" s="123"/>
      <c r="AL46" s="123"/>
      <c r="AM46" s="123"/>
      <c r="AN46" s="123"/>
      <c r="AO46" s="123" t="s">
        <v>481</v>
      </c>
      <c r="AP46" s="123">
        <v>23.372166950610399</v>
      </c>
      <c r="AQ46" s="167">
        <v>9.6627757531284345E-2</v>
      </c>
      <c r="AR46" s="123"/>
      <c r="AS46" s="123"/>
      <c r="AT46" s="123"/>
      <c r="AU46" s="123"/>
    </row>
    <row r="47" spans="1:47">
      <c r="A47" s="123"/>
      <c r="B47" s="125"/>
      <c r="C47" s="124" t="s">
        <v>503</v>
      </c>
      <c r="E47" s="194" t="str">
        <f>'3 LCA Input'!G35</f>
        <v>Straw</v>
      </c>
      <c r="G47" s="126"/>
      <c r="H47" s="123"/>
      <c r="I47" s="131"/>
      <c r="J47" s="132" t="s">
        <v>464</v>
      </c>
      <c r="K47" s="132"/>
      <c r="L47" s="172">
        <f>'Water tank'!E21</f>
        <v>27.724538509055158</v>
      </c>
      <c r="M47" s="416" t="str">
        <f>'3 LCA Input'!M24</f>
        <v>Road (Africa)</v>
      </c>
      <c r="N47" s="417"/>
      <c r="O47" s="194">
        <f>'3 LCA Input'!O24</f>
        <v>341</v>
      </c>
      <c r="P47" s="194" t="str">
        <f>'3 LCA Input'!P24</f>
        <v>None</v>
      </c>
      <c r="Q47" s="194">
        <f>'3 LCA Input'!Q24</f>
        <v>0</v>
      </c>
      <c r="R47" s="194" t="str">
        <f>'3 LCA Input'!R24</f>
        <v>None</v>
      </c>
      <c r="S47" s="194">
        <f>'3 LCA Input'!S24</f>
        <v>0</v>
      </c>
      <c r="T47" s="132">
        <f>L47*((VLOOKUP(M47,Transport!B$2:C$8,2,FALSE)*O47)+(VLOOKUP(P47,Transport!B$2:C$8,2,FALSE)*Q47)+(VLOOKUP(R47,Transport!B$2:C$8,2,FALSE)*S47))</f>
        <v>1.8908135263175616</v>
      </c>
      <c r="U47" s="170">
        <f t="shared" si="0"/>
        <v>7.5644087079885167E-3</v>
      </c>
      <c r="V47" s="123"/>
      <c r="W47" s="131"/>
      <c r="X47" s="132"/>
      <c r="Y47" s="132"/>
      <c r="Z47" s="132"/>
      <c r="AA47" s="132"/>
      <c r="AB47" s="132"/>
      <c r="AC47" s="132"/>
      <c r="AD47" s="133"/>
      <c r="AE47" s="123"/>
      <c r="AF47" s="123"/>
      <c r="AG47" s="123"/>
      <c r="AH47" s="123"/>
      <c r="AI47" s="123"/>
      <c r="AJ47" s="123"/>
      <c r="AK47" s="123"/>
      <c r="AL47" s="123"/>
      <c r="AM47" s="123"/>
      <c r="AN47" s="123"/>
      <c r="AO47" s="123" t="s">
        <v>464</v>
      </c>
      <c r="AP47" s="123">
        <v>1.8908135263175616</v>
      </c>
      <c r="AQ47" s="167">
        <v>7.8172071654277839E-3</v>
      </c>
      <c r="AR47" s="123"/>
      <c r="AS47" s="123"/>
      <c r="AT47" s="123"/>
      <c r="AU47" s="123"/>
    </row>
    <row r="48" spans="1:47">
      <c r="A48" s="123"/>
      <c r="B48" s="125"/>
      <c r="C48" s="124" t="s">
        <v>505</v>
      </c>
      <c r="E48" s="194">
        <f>'3 LCA Input'!G36</f>
        <v>400</v>
      </c>
      <c r="F48" s="124" t="s">
        <v>403</v>
      </c>
      <c r="G48" s="126"/>
      <c r="H48" s="123"/>
      <c r="I48" s="131"/>
      <c r="J48" s="132" t="s">
        <v>463</v>
      </c>
      <c r="K48" s="132"/>
      <c r="L48" s="172">
        <f>L38*(L37*2.4*2.4)*IF(L36="Straw",F66,F67)</f>
        <v>1555.2</v>
      </c>
      <c r="M48" s="416" t="str">
        <f>'3 LCA Input'!M25</f>
        <v>Road (Africa)</v>
      </c>
      <c r="N48" s="417"/>
      <c r="O48" s="194">
        <f>'3 LCA Input'!O25</f>
        <v>50</v>
      </c>
      <c r="P48" s="194" t="str">
        <f>'3 LCA Input'!P25</f>
        <v>None</v>
      </c>
      <c r="Q48" s="194">
        <f>'3 LCA Input'!Q25</f>
        <v>0</v>
      </c>
      <c r="R48" s="194" t="str">
        <f>'3 LCA Input'!R25</f>
        <v>None</v>
      </c>
      <c r="S48" s="194">
        <f>'3 LCA Input'!S25</f>
        <v>0</v>
      </c>
      <c r="T48" s="132">
        <f>L48*((VLOOKUP(M48,Transport!B$2:C$8,2,FALSE)*O48)+(VLOOKUP(P48,Transport!B$2:C$8,2,FALSE)*Q48)+(VLOOKUP(R48,Transport!B$2:C$8,2,FALSE)*S48))</f>
        <v>15.552000000000001</v>
      </c>
      <c r="U48" s="170">
        <f t="shared" si="0"/>
        <v>6.2217496643230348E-2</v>
      </c>
      <c r="V48" s="123"/>
      <c r="W48" s="131"/>
      <c r="X48" s="132"/>
      <c r="Y48" s="132"/>
      <c r="Z48" s="132"/>
      <c r="AA48" s="132"/>
      <c r="AB48" s="132"/>
      <c r="AC48" s="132"/>
      <c r="AD48" s="133"/>
      <c r="AE48" s="123"/>
      <c r="AF48" s="123"/>
      <c r="AG48" s="123"/>
      <c r="AH48" s="123"/>
      <c r="AI48" s="123"/>
      <c r="AJ48" s="123"/>
      <c r="AK48" s="123"/>
      <c r="AL48" s="123"/>
      <c r="AM48" s="123"/>
      <c r="AN48" s="123"/>
      <c r="AO48" s="123" t="s">
        <v>463</v>
      </c>
      <c r="AP48" s="123">
        <v>21.168000000000003</v>
      </c>
      <c r="AQ48" s="167">
        <v>8.7515050519045179E-2</v>
      </c>
      <c r="AR48" s="123"/>
      <c r="AS48" s="123"/>
      <c r="AT48" s="123"/>
      <c r="AU48" s="123"/>
    </row>
    <row r="49" spans="1:47" ht="15.75" thickBot="1">
      <c r="A49" s="123"/>
      <c r="B49" s="128"/>
      <c r="C49" s="129"/>
      <c r="D49" s="129"/>
      <c r="E49" s="129"/>
      <c r="F49" s="129"/>
      <c r="G49" s="130"/>
      <c r="H49" s="123"/>
      <c r="I49" s="131"/>
      <c r="J49" s="132" t="s">
        <v>506</v>
      </c>
      <c r="K49" s="132"/>
      <c r="L49" s="172">
        <f>L19*L20*1.25</f>
        <v>75</v>
      </c>
      <c r="M49" s="416" t="str">
        <f>'3 LCA Input'!M26</f>
        <v>Road (EU)</v>
      </c>
      <c r="N49" s="417"/>
      <c r="O49" s="194">
        <f>'3 LCA Input'!O26</f>
        <v>770</v>
      </c>
      <c r="P49" s="194" t="str">
        <f>'3 LCA Input'!P26</f>
        <v>Sea</v>
      </c>
      <c r="Q49" s="194">
        <f>'3 LCA Input'!Q26</f>
        <v>6580</v>
      </c>
      <c r="R49" s="194" t="str">
        <f>'3 LCA Input'!R26</f>
        <v>Road (Africa)</v>
      </c>
      <c r="S49" s="194">
        <f>'3 LCA Input'!S26</f>
        <v>341</v>
      </c>
      <c r="T49" s="132">
        <f>L49*((VLOOKUP(M49,Transport!B$2:C$8,2,FALSE)*O49)+(VLOOKUP(P49,Transport!B$2:C$8,2,FALSE)*Q49)+(VLOOKUP(R49,Transport!B$2:C$8,2,FALSE)*S49))</f>
        <v>21.188513400000001</v>
      </c>
      <c r="U49" s="170">
        <f t="shared" si="0"/>
        <v>8.4766992112882023E-2</v>
      </c>
      <c r="V49" s="123"/>
      <c r="W49" s="131"/>
      <c r="X49" s="132"/>
      <c r="Y49" s="132"/>
      <c r="Z49" s="132"/>
      <c r="AA49" s="132"/>
      <c r="AB49" s="132"/>
      <c r="AC49" s="132"/>
      <c r="AD49" s="133"/>
      <c r="AE49" s="123"/>
      <c r="AF49" s="123"/>
      <c r="AG49" s="123"/>
      <c r="AH49" s="123"/>
      <c r="AI49" s="123"/>
      <c r="AJ49" s="123"/>
      <c r="AK49" s="123"/>
      <c r="AL49" s="123"/>
      <c r="AM49" s="123"/>
      <c r="AN49" s="123"/>
      <c r="AO49" s="123" t="s">
        <v>506</v>
      </c>
      <c r="AP49" s="123">
        <v>430.62750000000005</v>
      </c>
      <c r="AQ49" s="167">
        <v>8.7599859250966819E-2</v>
      </c>
      <c r="AR49" s="123"/>
      <c r="AS49" s="123"/>
      <c r="AT49" s="123"/>
      <c r="AU49" s="123"/>
    </row>
    <row r="50" spans="1:47" ht="15.75" thickBot="1">
      <c r="A50" s="123"/>
      <c r="B50" s="123"/>
      <c r="C50" s="123"/>
      <c r="D50" s="123"/>
      <c r="E50" s="123"/>
      <c r="F50" s="123"/>
      <c r="G50" s="123"/>
      <c r="H50" s="123"/>
      <c r="I50" s="131"/>
      <c r="J50" s="132" t="s">
        <v>507</v>
      </c>
      <c r="K50" s="132"/>
      <c r="L50" s="172">
        <f>S29*T65*F68</f>
        <v>145.76999999999998</v>
      </c>
      <c r="M50" s="416" t="str">
        <f>'3 LCA Input'!M27</f>
        <v>Road (EU)</v>
      </c>
      <c r="N50" s="417"/>
      <c r="O50" s="194">
        <f>'3 LCA Input'!O27</f>
        <v>770</v>
      </c>
      <c r="P50" s="194" t="str">
        <f>'3 LCA Input'!P27</f>
        <v>Sea</v>
      </c>
      <c r="Q50" s="194">
        <f>'3 LCA Input'!Q27</f>
        <v>6580</v>
      </c>
      <c r="R50" s="194" t="str">
        <f>'3 LCA Input'!R27</f>
        <v>Road (Africa)</v>
      </c>
      <c r="S50" s="194">
        <f>'3 LCA Input'!S27</f>
        <v>341</v>
      </c>
      <c r="T50" s="132">
        <f>L50*((VLOOKUP(M50,Transport!B$2:C$8,2,FALSE)*O50)+(VLOOKUP(P50,Transport!B$2:C$8,2,FALSE)*Q50)+(VLOOKUP(R50,Transport!B$2:C$8,2,FALSE)*S50))</f>
        <v>41.18199464424</v>
      </c>
      <c r="U50" s="170">
        <f t="shared" si="0"/>
        <v>0.16475312587059748</v>
      </c>
      <c r="V50" s="123"/>
      <c r="W50" s="131"/>
      <c r="X50" s="132"/>
      <c r="Y50" s="132"/>
      <c r="Z50" s="132"/>
      <c r="AA50" s="132"/>
      <c r="AB50" s="132"/>
      <c r="AC50" s="132"/>
      <c r="AD50" s="133"/>
      <c r="AE50" s="123"/>
      <c r="AF50" s="123"/>
      <c r="AG50" s="123"/>
      <c r="AH50" s="123"/>
      <c r="AI50" s="123"/>
      <c r="AJ50" s="123"/>
      <c r="AK50" s="123"/>
      <c r="AL50" s="123"/>
      <c r="AM50" s="123"/>
      <c r="AN50" s="123"/>
      <c r="AO50" s="123" t="s">
        <v>507</v>
      </c>
      <c r="AP50" s="123">
        <v>836.96760900000004</v>
      </c>
      <c r="AQ50" s="167">
        <v>0.17025908644017909</v>
      </c>
      <c r="AR50" s="123"/>
      <c r="AS50" s="123"/>
      <c r="AT50" s="123"/>
      <c r="AU50" s="123"/>
    </row>
    <row r="51" spans="1:47">
      <c r="A51" s="123"/>
      <c r="B51" s="399" t="s">
        <v>508</v>
      </c>
      <c r="C51" s="400"/>
      <c r="D51" s="400"/>
      <c r="E51" s="400"/>
      <c r="F51" s="400"/>
      <c r="G51" s="401"/>
      <c r="H51" s="123"/>
      <c r="I51" s="131"/>
      <c r="J51" s="132" t="s">
        <v>270</v>
      </c>
      <c r="K51" s="132"/>
      <c r="L51" s="172">
        <f>1.25*S22*HLOOKUP('6 LCA'!S19,Batteries!B1:J27,24,FALSE)</f>
        <v>44.25</v>
      </c>
      <c r="M51" s="416" t="str">
        <f>'3 LCA Input'!M28</f>
        <v>Road (EU)</v>
      </c>
      <c r="N51" s="417"/>
      <c r="O51" s="194">
        <f>'3 LCA Input'!O28</f>
        <v>740</v>
      </c>
      <c r="P51" s="194" t="str">
        <f>'3 LCA Input'!P28</f>
        <v>Sea</v>
      </c>
      <c r="Q51" s="194">
        <f>'3 LCA Input'!Q28</f>
        <v>11600</v>
      </c>
      <c r="R51" s="194" t="str">
        <f>'3 LCA Input'!R28</f>
        <v>Road (Africa)</v>
      </c>
      <c r="S51" s="194">
        <f>'3 LCA Input'!S28</f>
        <v>827</v>
      </c>
      <c r="T51" s="132">
        <f>L51*((VLOOKUP(M51,Transport!B$2:C$8,2,FALSE)*O51)+(VLOOKUP(P51,Transport!B$2:C$8,2,FALSE)*Q51)+(VLOOKUP(R51,Transport!B$2:C$8,2,FALSE)*S51))</f>
        <v>18.846174120000001</v>
      </c>
      <c r="U51" s="170">
        <f t="shared" si="0"/>
        <v>7.5396204671349956E-2</v>
      </c>
      <c r="V51" s="123"/>
      <c r="W51" s="131"/>
      <c r="X51" s="132"/>
      <c r="Y51" s="132"/>
      <c r="Z51" s="132"/>
      <c r="AA51" s="132"/>
      <c r="AB51" s="132"/>
      <c r="AC51" s="132"/>
      <c r="AD51" s="133"/>
      <c r="AE51" s="123"/>
      <c r="AF51" s="123"/>
      <c r="AG51" s="123"/>
      <c r="AH51" s="123"/>
      <c r="AI51" s="123"/>
      <c r="AJ51" s="123"/>
      <c r="AK51" s="123"/>
      <c r="AL51" s="123"/>
      <c r="AM51" s="123"/>
      <c r="AN51" s="123"/>
      <c r="AO51" s="123" t="s">
        <v>270</v>
      </c>
      <c r="AP51" s="123">
        <v>37.692348240000001</v>
      </c>
      <c r="AQ51" s="167">
        <v>0.15583181029880211</v>
      </c>
      <c r="AR51" s="123"/>
      <c r="AS51" s="123"/>
      <c r="AT51" s="123"/>
      <c r="AU51" s="123"/>
    </row>
    <row r="52" spans="1:47">
      <c r="A52" s="123"/>
      <c r="B52" s="131"/>
      <c r="C52" s="174" t="s">
        <v>509</v>
      </c>
      <c r="D52" s="132"/>
      <c r="E52" s="134" t="s">
        <v>14</v>
      </c>
      <c r="F52" s="132"/>
      <c r="G52" s="133"/>
      <c r="H52" s="123"/>
      <c r="I52" s="131"/>
      <c r="J52" s="132" t="s">
        <v>510</v>
      </c>
      <c r="K52" s="132"/>
      <c r="L52" s="173">
        <v>200</v>
      </c>
      <c r="M52" s="423" t="s">
        <v>491</v>
      </c>
      <c r="N52" s="424"/>
      <c r="O52" s="173">
        <v>50</v>
      </c>
      <c r="P52" s="134" t="s">
        <v>492</v>
      </c>
      <c r="Q52" s="127"/>
      <c r="R52" s="134" t="s">
        <v>492</v>
      </c>
      <c r="S52" s="127"/>
      <c r="T52" s="132">
        <f>L52*((VLOOKUP(M52,Transport!B$2:C$8,2,FALSE)*O52)+(VLOOKUP(P52,Transport!B$2:C$8,2,FALSE)*Q52)+(VLOOKUP(R52,Transport!B$2:C$8,2,FALSE)*S52))</f>
        <v>2</v>
      </c>
      <c r="U52" s="170">
        <f t="shared" si="0"/>
        <v>8.0012212761355894E-3</v>
      </c>
      <c r="V52" s="123"/>
      <c r="W52" s="131"/>
      <c r="X52" s="132"/>
      <c r="Y52" s="132"/>
      <c r="Z52" s="132"/>
      <c r="AA52" s="132"/>
      <c r="AB52" s="132"/>
      <c r="AC52" s="132"/>
      <c r="AD52" s="133"/>
      <c r="AE52" s="123"/>
      <c r="AF52" s="123"/>
      <c r="AG52" s="123"/>
      <c r="AH52" s="123"/>
      <c r="AI52" s="123"/>
      <c r="AJ52" s="123"/>
      <c r="AK52" s="123"/>
      <c r="AL52" s="123"/>
      <c r="AM52" s="123"/>
      <c r="AN52" s="123"/>
      <c r="AO52" s="167" t="s">
        <v>510</v>
      </c>
      <c r="AP52" s="167">
        <v>2</v>
      </c>
      <c r="AQ52" s="167">
        <v>8.2686177739082732E-3</v>
      </c>
      <c r="AR52" s="123"/>
      <c r="AS52" s="123"/>
      <c r="AT52" s="123"/>
      <c r="AU52" s="123"/>
    </row>
    <row r="53" spans="1:47" ht="15.75" thickBot="1">
      <c r="A53" s="123"/>
      <c r="B53" s="146"/>
      <c r="C53" s="175"/>
      <c r="D53" s="147"/>
      <c r="E53" s="147"/>
      <c r="F53" s="147"/>
      <c r="G53" s="148"/>
      <c r="H53" s="123"/>
      <c r="I53" s="146"/>
      <c r="J53" s="147"/>
      <c r="K53" s="147"/>
      <c r="L53" s="147"/>
      <c r="M53" s="147"/>
      <c r="N53" s="147"/>
      <c r="O53" s="147"/>
      <c r="P53" s="147"/>
      <c r="Q53" s="147"/>
      <c r="R53" s="147"/>
      <c r="S53" s="147"/>
      <c r="T53" s="147"/>
      <c r="U53" s="148"/>
      <c r="V53" s="123"/>
      <c r="W53" s="146"/>
      <c r="X53" s="147"/>
      <c r="Y53" s="147"/>
      <c r="Z53" s="147"/>
      <c r="AA53" s="147"/>
      <c r="AB53" s="147"/>
      <c r="AC53" s="147"/>
      <c r="AD53" s="148"/>
      <c r="AE53" s="123"/>
      <c r="AF53" s="123"/>
      <c r="AG53" s="123"/>
      <c r="AH53" s="123"/>
      <c r="AI53" s="123"/>
      <c r="AJ53" s="123"/>
      <c r="AK53" s="123"/>
      <c r="AL53" s="123"/>
      <c r="AM53" s="123"/>
      <c r="AN53" s="123"/>
      <c r="AO53" s="123"/>
      <c r="AP53" s="123"/>
      <c r="AQ53" s="167"/>
      <c r="AR53" s="123"/>
      <c r="AS53" s="123"/>
      <c r="AT53" s="123"/>
      <c r="AU53" s="123"/>
    </row>
    <row r="54" spans="1:47" ht="15.75" thickBot="1">
      <c r="A54" s="123"/>
      <c r="B54" s="123"/>
      <c r="C54" s="123"/>
      <c r="D54" s="123"/>
      <c r="E54" s="123"/>
      <c r="F54" s="123"/>
      <c r="G54" s="123"/>
      <c r="H54" s="123"/>
      <c r="I54" s="123"/>
      <c r="J54" s="123"/>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c r="AH54" s="123"/>
      <c r="AI54" s="123"/>
      <c r="AJ54" s="123"/>
      <c r="AK54" s="123"/>
      <c r="AL54" s="123"/>
      <c r="AM54" s="123"/>
      <c r="AN54" s="123"/>
      <c r="AO54" s="123"/>
      <c r="AP54" s="123"/>
      <c r="AQ54" s="123"/>
      <c r="AR54" s="123"/>
      <c r="AS54" s="123"/>
      <c r="AT54" s="123"/>
      <c r="AU54" s="123"/>
    </row>
    <row r="55" spans="1:47">
      <c r="A55" s="123"/>
      <c r="B55" s="399" t="s">
        <v>511</v>
      </c>
      <c r="C55" s="400"/>
      <c r="D55" s="400"/>
      <c r="E55" s="400"/>
      <c r="F55" s="400"/>
      <c r="G55" s="401"/>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c r="AI55" s="123"/>
      <c r="AJ55" s="123"/>
      <c r="AK55" s="123"/>
      <c r="AL55" s="123"/>
      <c r="AM55" s="123"/>
      <c r="AN55" s="123"/>
      <c r="AO55" s="123"/>
      <c r="AP55" s="123"/>
      <c r="AQ55" s="123"/>
      <c r="AR55" s="123"/>
      <c r="AS55" s="123"/>
      <c r="AT55" s="123"/>
      <c r="AU55" s="123"/>
    </row>
    <row r="56" spans="1:47">
      <c r="A56" s="123"/>
      <c r="B56" s="131"/>
      <c r="C56" s="132" t="s">
        <v>512</v>
      </c>
      <c r="D56" s="132"/>
      <c r="E56" s="194">
        <f>'LCA calcs'!C7</f>
        <v>11</v>
      </c>
      <c r="F56" s="132"/>
      <c r="G56" s="133"/>
      <c r="H56" s="123"/>
      <c r="I56" s="123"/>
      <c r="J56" s="123"/>
      <c r="K56" s="123"/>
      <c r="L56" s="123"/>
      <c r="M56" s="123"/>
      <c r="N56" s="123"/>
      <c r="O56" s="123"/>
      <c r="P56" s="123"/>
      <c r="Q56" s="123"/>
      <c r="R56" s="123"/>
      <c r="S56" s="123"/>
      <c r="T56" s="123"/>
      <c r="U56" s="123"/>
      <c r="V56" s="123"/>
      <c r="W56" s="123"/>
      <c r="X56" s="123"/>
      <c r="Y56" s="123"/>
      <c r="Z56" s="123"/>
      <c r="AA56" s="123"/>
      <c r="AB56" s="123"/>
      <c r="AC56" s="123"/>
      <c r="AD56" s="123"/>
      <c r="AE56" s="123"/>
      <c r="AF56" s="123"/>
      <c r="AG56" s="123"/>
      <c r="AH56" s="123"/>
      <c r="AI56" s="123"/>
      <c r="AJ56" s="123"/>
      <c r="AK56" s="123"/>
      <c r="AL56" s="123"/>
      <c r="AM56" s="123"/>
      <c r="AN56" s="123"/>
      <c r="AO56" s="123"/>
      <c r="AP56" s="123"/>
      <c r="AQ56" s="123"/>
      <c r="AR56" s="123"/>
      <c r="AS56" s="123"/>
      <c r="AT56" s="123"/>
      <c r="AU56" s="123"/>
    </row>
    <row r="57" spans="1:47" ht="15.75" thickBot="1">
      <c r="A57" s="123"/>
      <c r="B57" s="146"/>
      <c r="C57" s="147"/>
      <c r="D57" s="147"/>
      <c r="E57" s="147"/>
      <c r="F57" s="147"/>
      <c r="G57" s="148"/>
      <c r="H57" s="123"/>
      <c r="I57" s="123"/>
      <c r="J57" s="123"/>
      <c r="K57" s="123"/>
      <c r="L57" s="123"/>
      <c r="M57" s="123"/>
      <c r="N57" s="123"/>
      <c r="O57" s="123"/>
      <c r="P57" s="123"/>
      <c r="Q57" s="123"/>
      <c r="R57" s="123"/>
      <c r="S57" s="123"/>
      <c r="T57" s="123"/>
      <c r="U57" s="123"/>
      <c r="V57" s="123"/>
      <c r="W57" s="123"/>
      <c r="X57" s="123"/>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row>
    <row r="58" spans="1:47">
      <c r="A58" s="123"/>
      <c r="B58" s="123"/>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23"/>
      <c r="AA58" s="123"/>
      <c r="AB58" s="123"/>
      <c r="AC58" s="123"/>
      <c r="AD58" s="123"/>
      <c r="AE58" s="123"/>
      <c r="AF58" s="123"/>
      <c r="AG58" s="123"/>
      <c r="AH58" s="123"/>
      <c r="AI58" s="123"/>
      <c r="AJ58" s="123"/>
      <c r="AK58" s="123"/>
      <c r="AL58" s="123"/>
      <c r="AM58" s="123"/>
      <c r="AN58" s="123"/>
      <c r="AO58" s="123"/>
      <c r="AP58" s="123"/>
      <c r="AQ58" s="123"/>
      <c r="AR58" s="123"/>
      <c r="AS58" s="123"/>
      <c r="AT58" s="123"/>
      <c r="AU58" s="123"/>
    </row>
    <row r="59" spans="1:47">
      <c r="A59" s="123"/>
      <c r="B59" s="123"/>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c r="AI59" s="123"/>
      <c r="AJ59" s="123"/>
      <c r="AK59" s="123"/>
      <c r="AL59" s="123"/>
      <c r="AM59" s="123"/>
      <c r="AN59" s="123"/>
      <c r="AO59" s="123"/>
      <c r="AP59" s="123"/>
      <c r="AQ59" s="123"/>
      <c r="AR59" s="123"/>
      <c r="AS59" s="123"/>
      <c r="AT59" s="123"/>
      <c r="AU59" s="123"/>
    </row>
    <row r="60" spans="1:47">
      <c r="A60" s="123"/>
      <c r="B60" s="123"/>
      <c r="C60" s="123"/>
      <c r="D60" s="123"/>
      <c r="E60" s="123"/>
      <c r="F60" s="123"/>
      <c r="G60" s="123"/>
      <c r="H60" s="123"/>
      <c r="I60" s="123"/>
      <c r="J60" s="123"/>
      <c r="K60" s="123"/>
      <c r="L60" s="123"/>
      <c r="M60" s="123"/>
      <c r="N60" s="123"/>
      <c r="O60" s="123"/>
      <c r="P60" s="123"/>
      <c r="Q60" s="123"/>
      <c r="R60" s="123"/>
      <c r="S60" s="123"/>
      <c r="T60" s="123"/>
      <c r="U60" s="123"/>
      <c r="V60" s="123"/>
      <c r="W60" s="123"/>
      <c r="X60" s="123"/>
      <c r="Y60" s="176"/>
      <c r="Z60" s="176" t="s">
        <v>513</v>
      </c>
      <c r="AA60" s="176" t="s">
        <v>514</v>
      </c>
      <c r="AB60" s="176" t="s">
        <v>515</v>
      </c>
      <c r="AC60" s="176" t="s">
        <v>516</v>
      </c>
      <c r="AD60" s="123"/>
      <c r="AE60" s="123"/>
      <c r="AF60" s="123"/>
      <c r="AG60" s="123"/>
      <c r="AH60" s="123"/>
      <c r="AI60" s="123"/>
      <c r="AJ60" s="123"/>
      <c r="AK60" s="123"/>
      <c r="AL60" s="123"/>
      <c r="AM60" s="123"/>
      <c r="AN60" s="123"/>
      <c r="AO60" s="123"/>
      <c r="AP60" s="123"/>
      <c r="AQ60" s="123"/>
      <c r="AR60" s="123"/>
      <c r="AS60" s="123"/>
      <c r="AT60" s="123"/>
      <c r="AU60" s="123"/>
    </row>
    <row r="61" spans="1:47">
      <c r="A61" s="123"/>
      <c r="B61" s="123"/>
      <c r="C61" s="123"/>
      <c r="D61" s="123"/>
      <c r="E61" s="123"/>
      <c r="F61" s="123"/>
      <c r="G61" s="123"/>
      <c r="H61" s="123"/>
      <c r="I61" s="123"/>
      <c r="J61" s="123"/>
      <c r="K61" s="123"/>
      <c r="L61" s="123"/>
      <c r="M61" s="123"/>
      <c r="N61" s="123"/>
      <c r="O61" s="123"/>
      <c r="P61" s="123"/>
      <c r="Q61" s="123"/>
      <c r="R61" s="123"/>
      <c r="S61" s="123"/>
      <c r="T61" s="123"/>
      <c r="U61" s="123"/>
      <c r="V61" s="123"/>
      <c r="W61" s="123"/>
      <c r="X61" s="419" t="s">
        <v>517</v>
      </c>
      <c r="Y61" s="176" t="s">
        <v>518</v>
      </c>
      <c r="Z61" s="176">
        <v>3970.8699582238942</v>
      </c>
      <c r="AA61" s="176">
        <v>163.52573436</v>
      </c>
      <c r="AB61" s="176">
        <v>201.70304043999997</v>
      </c>
      <c r="AC61" s="176">
        <v>27968.138611319999</v>
      </c>
      <c r="AD61" s="123"/>
      <c r="AE61" s="123"/>
      <c r="AF61" s="123"/>
      <c r="AG61" s="123"/>
      <c r="AH61" s="123"/>
      <c r="AI61" s="123"/>
      <c r="AJ61" s="123"/>
      <c r="AK61" s="123"/>
      <c r="AL61" s="123"/>
      <c r="AM61" s="123"/>
      <c r="AN61" s="123"/>
      <c r="AO61" s="123"/>
      <c r="AP61" s="123"/>
      <c r="AQ61" s="123"/>
      <c r="AR61" s="123"/>
      <c r="AS61" s="123"/>
      <c r="AT61" s="123"/>
      <c r="AU61" s="123"/>
    </row>
    <row r="62" spans="1:47" s="177" customFormat="1">
      <c r="A62" s="176"/>
      <c r="B62" s="176"/>
      <c r="C62" s="176"/>
      <c r="D62" s="176"/>
      <c r="E62" s="176"/>
      <c r="F62" s="176"/>
      <c r="G62" s="176"/>
      <c r="H62" s="176"/>
      <c r="I62" s="176"/>
      <c r="J62" s="176"/>
      <c r="K62" s="176"/>
      <c r="L62" s="176"/>
      <c r="M62" s="176"/>
      <c r="N62" s="176"/>
      <c r="O62" s="176"/>
      <c r="P62" s="123"/>
      <c r="Q62" s="123"/>
      <c r="R62" s="123"/>
      <c r="S62" s="123"/>
      <c r="T62" s="123"/>
      <c r="U62" s="123"/>
      <c r="V62" s="176"/>
      <c r="W62" s="176"/>
      <c r="X62" s="419"/>
      <c r="Y62" s="176" t="s">
        <v>519</v>
      </c>
      <c r="Z62" s="176">
        <v>1771.3792416364017</v>
      </c>
      <c r="AA62" s="176">
        <v>7957.2547646059356</v>
      </c>
      <c r="AB62" s="176">
        <v>22.170486733911424</v>
      </c>
      <c r="AC62" s="176">
        <v>477.08078920700484</v>
      </c>
      <c r="AD62" s="176"/>
      <c r="AE62" s="176"/>
      <c r="AF62" s="123"/>
      <c r="AG62" s="123"/>
      <c r="AH62" s="176"/>
      <c r="AI62" s="176"/>
      <c r="AJ62" s="176"/>
      <c r="AK62" s="176"/>
      <c r="AL62" s="176"/>
      <c r="AM62" s="176"/>
      <c r="AN62" s="176"/>
      <c r="AO62" s="176"/>
      <c r="AP62" s="176"/>
      <c r="AQ62" s="176"/>
      <c r="AR62" s="176"/>
      <c r="AS62" s="176"/>
      <c r="AT62" s="176"/>
      <c r="AU62" s="176"/>
    </row>
    <row r="63" spans="1:47" s="177" customFormat="1">
      <c r="A63" s="176"/>
      <c r="B63" s="176" t="s">
        <v>520</v>
      </c>
      <c r="C63" s="176"/>
      <c r="D63" s="176"/>
      <c r="E63" s="176" t="s">
        <v>141</v>
      </c>
      <c r="F63" s="176" t="s">
        <v>521</v>
      </c>
      <c r="G63" s="176"/>
      <c r="H63" s="176"/>
      <c r="I63" s="176"/>
      <c r="J63" s="176"/>
      <c r="K63" s="176"/>
      <c r="L63" s="176"/>
      <c r="M63" s="176"/>
      <c r="N63" s="176"/>
      <c r="O63" s="176"/>
      <c r="P63" s="176"/>
      <c r="Q63" s="176"/>
      <c r="R63" s="176"/>
      <c r="S63" s="176"/>
      <c r="T63" s="176"/>
      <c r="U63" s="176"/>
      <c r="V63" s="176"/>
      <c r="W63" s="176"/>
      <c r="X63" s="420" t="s">
        <v>522</v>
      </c>
      <c r="Y63" s="176" t="s">
        <v>518</v>
      </c>
      <c r="Z63" s="176">
        <v>3978.1467582238938</v>
      </c>
      <c r="AA63" s="176">
        <v>163.56665435999997</v>
      </c>
      <c r="AB63" s="176">
        <v>201.74696043999995</v>
      </c>
      <c r="AC63" s="176">
        <v>27972.92745132</v>
      </c>
      <c r="AD63" s="176"/>
      <c r="AE63" s="176"/>
      <c r="AF63" s="176"/>
      <c r="AG63" s="176"/>
      <c r="AH63" s="176"/>
      <c r="AI63" s="176"/>
      <c r="AJ63" s="176"/>
      <c r="AK63" s="176"/>
      <c r="AL63" s="176"/>
      <c r="AM63" s="176"/>
      <c r="AN63" s="176"/>
      <c r="AO63" s="176"/>
      <c r="AP63" s="176"/>
      <c r="AQ63" s="176"/>
      <c r="AR63" s="176"/>
      <c r="AS63" s="176"/>
      <c r="AT63" s="176"/>
      <c r="AU63" s="176"/>
    </row>
    <row r="64" spans="1:47" s="177" customFormat="1">
      <c r="A64" s="176"/>
      <c r="B64" s="176" t="s">
        <v>523</v>
      </c>
      <c r="C64" s="176">
        <f>(E20+E21)*E22*E23</f>
        <v>1.0125000000000002</v>
      </c>
      <c r="D64" s="176"/>
      <c r="E64" s="176" t="s">
        <v>496</v>
      </c>
      <c r="F64" s="176">
        <v>1500</v>
      </c>
      <c r="G64" s="176"/>
      <c r="H64" s="176"/>
      <c r="I64" s="176"/>
      <c r="J64" s="176"/>
      <c r="K64" s="176"/>
      <c r="L64" s="176"/>
      <c r="M64" s="176"/>
      <c r="N64" s="176"/>
      <c r="O64" s="176"/>
      <c r="P64" s="176" t="s">
        <v>520</v>
      </c>
      <c r="Q64" s="176"/>
      <c r="R64" s="176"/>
      <c r="S64" s="176"/>
      <c r="T64" s="176"/>
      <c r="U64" s="176"/>
      <c r="V64" s="176"/>
      <c r="W64" s="176"/>
      <c r="X64" s="420"/>
      <c r="Y64" s="176" t="s">
        <v>519</v>
      </c>
      <c r="Z64" s="176">
        <v>7399.3474548436188</v>
      </c>
      <c r="AA64" s="176">
        <v>2353.3598084529694</v>
      </c>
      <c r="AB64" s="176">
        <v>82.970382336485727</v>
      </c>
      <c r="AC64" s="176">
        <v>5108.160146717013</v>
      </c>
      <c r="AD64" s="176"/>
      <c r="AE64" s="176"/>
      <c r="AF64" s="176"/>
      <c r="AG64" s="176"/>
      <c r="AH64" s="176"/>
      <c r="AI64" s="176"/>
      <c r="AJ64" s="176"/>
      <c r="AK64" s="176"/>
      <c r="AL64" s="176"/>
      <c r="AM64" s="176"/>
      <c r="AN64" s="176"/>
      <c r="AO64" s="176"/>
      <c r="AP64" s="176"/>
      <c r="AQ64" s="176"/>
      <c r="AR64" s="176"/>
      <c r="AS64" s="176"/>
      <c r="AT64" s="176"/>
      <c r="AU64" s="176"/>
    </row>
    <row r="65" spans="1:50" s="177" customFormat="1">
      <c r="A65" s="176"/>
      <c r="B65" s="176" t="s">
        <v>524</v>
      </c>
      <c r="C65" s="176">
        <f>E26*E27*(1+E28)</f>
        <v>0.86060620800000009</v>
      </c>
      <c r="D65" s="176"/>
      <c r="E65" s="176" t="s">
        <v>437</v>
      </c>
      <c r="F65" s="176">
        <f>Biogenic!F2</f>
        <v>500</v>
      </c>
      <c r="G65" s="176"/>
      <c r="H65" s="176"/>
      <c r="I65" s="176"/>
      <c r="J65" s="176"/>
      <c r="K65" s="176"/>
      <c r="L65" s="176"/>
      <c r="M65" s="176"/>
      <c r="N65" s="176"/>
      <c r="O65" s="176"/>
      <c r="P65" s="176" t="s">
        <v>430</v>
      </c>
      <c r="Q65" s="176">
        <f>L24*L20</f>
        <v>450</v>
      </c>
      <c r="R65" s="176" t="s">
        <v>458</v>
      </c>
      <c r="S65" s="176" t="s">
        <v>525</v>
      </c>
      <c r="T65" s="176">
        <f>S27*S28</f>
        <v>1.9435999999999998</v>
      </c>
      <c r="U65" s="176" t="s">
        <v>526</v>
      </c>
      <c r="V65" s="176"/>
      <c r="W65" s="176"/>
      <c r="X65" s="176"/>
      <c r="Y65" s="176"/>
      <c r="Z65" s="176"/>
      <c r="AA65" s="176"/>
      <c r="AB65" s="176"/>
      <c r="AC65" s="176"/>
      <c r="AD65" s="176"/>
      <c r="AE65" s="176"/>
      <c r="AF65" s="176"/>
      <c r="AG65" s="176"/>
      <c r="AH65" s="176"/>
      <c r="AI65" s="176"/>
      <c r="AJ65" s="176"/>
      <c r="AK65" s="176"/>
      <c r="AL65" s="176"/>
      <c r="AM65" s="176"/>
      <c r="AN65" s="176"/>
      <c r="AO65" s="176"/>
      <c r="AP65" s="176"/>
      <c r="AQ65" s="176"/>
      <c r="AR65" s="176"/>
      <c r="AS65" s="176"/>
      <c r="AT65" s="176"/>
      <c r="AU65" s="176"/>
    </row>
    <row r="66" spans="1:50" s="177" customFormat="1">
      <c r="A66" s="176"/>
      <c r="B66" s="176"/>
      <c r="C66" s="176"/>
      <c r="D66" s="176"/>
      <c r="E66" s="176" t="s">
        <v>434</v>
      </c>
      <c r="F66" s="176">
        <v>150</v>
      </c>
      <c r="G66" s="176"/>
      <c r="H66" s="176"/>
      <c r="I66" s="176"/>
      <c r="J66" s="176"/>
      <c r="K66" s="176"/>
      <c r="L66" s="176"/>
      <c r="M66" s="176"/>
      <c r="N66" s="176"/>
      <c r="O66" s="176"/>
      <c r="P66" s="176" t="s">
        <v>527</v>
      </c>
      <c r="Q66" s="176">
        <f>Q65*24</f>
        <v>10800</v>
      </c>
      <c r="R66" s="176" t="s">
        <v>433</v>
      </c>
      <c r="S66" s="176"/>
      <c r="T66" s="176"/>
      <c r="U66" s="176"/>
      <c r="V66" s="176"/>
      <c r="W66" s="176"/>
      <c r="X66" s="176"/>
      <c r="Y66" s="176"/>
      <c r="Z66" s="176">
        <f>Z61+Z62</f>
        <v>5742.2491998602964</v>
      </c>
      <c r="AA66" s="176">
        <f>AA61+AA62</f>
        <v>8120.7804989659353</v>
      </c>
      <c r="AB66" s="176">
        <f>AB61+AB62</f>
        <v>223.87352717391138</v>
      </c>
      <c r="AC66" s="176">
        <f>AC61+AC62</f>
        <v>28445.219400527003</v>
      </c>
      <c r="AD66" s="176"/>
      <c r="AE66" s="176"/>
      <c r="AF66" s="176"/>
      <c r="AG66" s="176"/>
      <c r="AH66" s="176"/>
      <c r="AI66" s="176"/>
      <c r="AJ66" s="176"/>
      <c r="AK66" s="176"/>
      <c r="AL66" s="176"/>
      <c r="AM66" s="176"/>
      <c r="AN66" s="176"/>
      <c r="AO66" s="176"/>
      <c r="AP66" s="176"/>
      <c r="AQ66" s="176"/>
      <c r="AR66" s="176"/>
      <c r="AS66" s="176"/>
      <c r="AT66" s="176"/>
      <c r="AU66" s="176"/>
    </row>
    <row r="67" spans="1:50" s="177" customFormat="1">
      <c r="A67" s="176"/>
      <c r="B67" s="176"/>
      <c r="C67" s="176"/>
      <c r="D67" s="176"/>
      <c r="E67" s="176" t="s">
        <v>504</v>
      </c>
      <c r="F67" s="176">
        <v>25</v>
      </c>
      <c r="G67" s="176"/>
      <c r="H67" s="176"/>
      <c r="I67" s="176"/>
      <c r="J67" s="176"/>
      <c r="K67" s="176"/>
      <c r="L67" s="176"/>
      <c r="M67" s="176"/>
      <c r="N67" s="176"/>
      <c r="O67" s="176"/>
      <c r="P67" s="176" t="s">
        <v>528</v>
      </c>
      <c r="Q67" s="176">
        <f>HLOOKUP(S19,Batteries!B1:J26,25,FALSE)</f>
        <v>0.8</v>
      </c>
      <c r="R67" s="176"/>
      <c r="S67" s="176"/>
      <c r="T67" s="176"/>
      <c r="U67" s="176"/>
      <c r="V67" s="176"/>
      <c r="W67" s="176"/>
      <c r="X67" s="176"/>
      <c r="Y67" s="176"/>
      <c r="Z67" s="176">
        <f>Z63+Z64</f>
        <v>11377.494213067512</v>
      </c>
      <c r="AA67" s="176">
        <f>AA63+AA64</f>
        <v>2516.9264628129695</v>
      </c>
      <c r="AB67" s="176">
        <f>AB63+AB64</f>
        <v>284.71734277648568</v>
      </c>
      <c r="AC67" s="176">
        <f>AC63+AC64</f>
        <v>33081.087598037011</v>
      </c>
      <c r="AD67" s="176"/>
      <c r="AE67" s="176"/>
      <c r="AF67" s="176"/>
      <c r="AG67" s="176"/>
      <c r="AH67" s="176"/>
      <c r="AI67" s="176"/>
      <c r="AJ67" s="176"/>
      <c r="AK67" s="176"/>
      <c r="AL67" s="176"/>
      <c r="AM67" s="176"/>
      <c r="AN67" s="176"/>
      <c r="AO67" s="176"/>
      <c r="AP67" s="176"/>
      <c r="AQ67" s="176"/>
      <c r="AR67" s="176"/>
      <c r="AS67" s="176"/>
      <c r="AT67" s="176"/>
      <c r="AU67" s="176"/>
    </row>
    <row r="68" spans="1:50" s="177" customFormat="1">
      <c r="A68" s="176"/>
      <c r="B68" s="176"/>
      <c r="C68" s="176"/>
      <c r="D68" s="176"/>
      <c r="E68" s="176" t="s">
        <v>529</v>
      </c>
      <c r="F68" s="176">
        <v>7.5</v>
      </c>
      <c r="G68" s="176"/>
      <c r="H68" s="176"/>
      <c r="I68" s="176"/>
      <c r="J68" s="176"/>
      <c r="K68" s="176"/>
      <c r="L68" s="176"/>
      <c r="M68" s="176"/>
      <c r="N68" s="176"/>
      <c r="O68" s="176"/>
      <c r="P68" s="176" t="s">
        <v>530</v>
      </c>
      <c r="Q68" s="176">
        <f>Q67*S21*S22*S20</f>
        <v>12288</v>
      </c>
      <c r="R68" s="176" t="s">
        <v>433</v>
      </c>
      <c r="S68" s="176"/>
      <c r="T68" s="176"/>
      <c r="U68" s="176"/>
      <c r="V68" s="176"/>
      <c r="W68" s="176"/>
      <c r="X68" s="176"/>
      <c r="Y68" s="176"/>
      <c r="Z68" s="178">
        <f>(Z66-Z67)/Z67</f>
        <v>-0.49529755038107676</v>
      </c>
      <c r="AA68" s="178">
        <f>(AA66-AA67)/AA67</f>
        <v>2.226467129234273</v>
      </c>
      <c r="AB68" s="178">
        <f>(AB66-AB67)/AB67</f>
        <v>-0.21369901464112456</v>
      </c>
      <c r="AC68" s="178">
        <f>(AC66-AC67)/AC67</f>
        <v>-0.14013651104340036</v>
      </c>
      <c r="AD68" s="176"/>
      <c r="AE68" s="176"/>
      <c r="AF68" s="176"/>
      <c r="AG68" s="176"/>
      <c r="AH68" s="176"/>
      <c r="AI68" s="176"/>
      <c r="AJ68" s="176"/>
      <c r="AK68" s="176"/>
      <c r="AL68" s="176"/>
      <c r="AM68" s="176"/>
      <c r="AN68" s="176"/>
      <c r="AO68" s="176"/>
      <c r="AP68" s="176"/>
      <c r="AQ68" s="176"/>
      <c r="AR68" s="176"/>
      <c r="AS68" s="176"/>
      <c r="AT68" s="176"/>
      <c r="AU68" s="176"/>
    </row>
    <row r="69" spans="1:50" s="177" customFormat="1">
      <c r="A69" s="176"/>
      <c r="B69" s="176"/>
      <c r="C69" s="176"/>
      <c r="D69" s="176"/>
      <c r="E69" s="176"/>
      <c r="F69" s="176"/>
      <c r="G69" s="176"/>
      <c r="H69" s="176"/>
      <c r="I69" s="176"/>
      <c r="J69" s="176"/>
      <c r="K69" s="176"/>
      <c r="L69" s="176"/>
      <c r="M69" s="176"/>
      <c r="N69" s="176"/>
      <c r="O69" s="176"/>
      <c r="P69" s="176" t="s">
        <v>531</v>
      </c>
      <c r="Q69" s="176">
        <f>Q66/Q68</f>
        <v>0.87890625</v>
      </c>
      <c r="R69" s="176"/>
      <c r="S69" s="176"/>
      <c r="T69" s="176"/>
      <c r="U69" s="176"/>
      <c r="V69" s="176"/>
      <c r="W69" s="176"/>
      <c r="X69" s="176"/>
      <c r="Y69" s="176"/>
      <c r="Z69" s="176"/>
      <c r="AA69" s="176"/>
      <c r="AB69" s="176"/>
      <c r="AC69" s="176"/>
      <c r="AD69" s="176"/>
      <c r="AE69" s="176"/>
      <c r="AF69" s="176"/>
      <c r="AG69" s="176"/>
      <c r="AH69" s="176"/>
      <c r="AI69" s="176"/>
      <c r="AJ69" s="176"/>
      <c r="AK69" s="176"/>
      <c r="AL69" s="176"/>
      <c r="AM69" s="176"/>
      <c r="AN69" s="176"/>
      <c r="AO69" s="176"/>
      <c r="AP69" s="176"/>
      <c r="AQ69" s="176"/>
      <c r="AR69" s="176"/>
      <c r="AS69" s="176"/>
      <c r="AT69" s="176"/>
      <c r="AU69" s="176"/>
    </row>
    <row r="70" spans="1:50" s="177" customFormat="1">
      <c r="A70" s="176"/>
      <c r="B70" s="176" t="s">
        <v>532</v>
      </c>
      <c r="C70" s="176" t="s">
        <v>270</v>
      </c>
      <c r="D70" s="176" t="s">
        <v>533</v>
      </c>
      <c r="E70" s="176" t="s">
        <v>409</v>
      </c>
      <c r="F70" s="176" t="s">
        <v>534</v>
      </c>
      <c r="G70" s="176" t="s">
        <v>535</v>
      </c>
      <c r="H70" s="176" t="s">
        <v>536</v>
      </c>
      <c r="I70" s="176" t="s">
        <v>537</v>
      </c>
      <c r="J70" s="176" t="s">
        <v>839</v>
      </c>
      <c r="K70" s="176" t="s">
        <v>538</v>
      </c>
      <c r="L70" s="176" t="s">
        <v>481</v>
      </c>
      <c r="M70" s="176" t="s">
        <v>445</v>
      </c>
      <c r="N70" s="176" t="s">
        <v>539</v>
      </c>
      <c r="O70" s="176" t="s">
        <v>540</v>
      </c>
      <c r="P70" s="176" t="s">
        <v>541</v>
      </c>
      <c r="Q70" s="176" t="s">
        <v>542</v>
      </c>
      <c r="R70" s="176" t="s">
        <v>482</v>
      </c>
      <c r="S70" s="176"/>
      <c r="T70" s="176"/>
      <c r="U70" s="176"/>
      <c r="V70" s="176"/>
      <c r="W70" s="176"/>
      <c r="X70" s="176"/>
      <c r="Y70" s="176"/>
      <c r="Z70" s="176" t="s">
        <v>513</v>
      </c>
      <c r="AA70" s="176" t="s">
        <v>514</v>
      </c>
      <c r="AB70" s="176" t="s">
        <v>515</v>
      </c>
      <c r="AC70" s="176" t="s">
        <v>516</v>
      </c>
      <c r="AD70" s="176"/>
      <c r="AE70" s="176"/>
      <c r="AF70" s="176" t="s">
        <v>812</v>
      </c>
      <c r="AG70" s="176" t="s">
        <v>388</v>
      </c>
      <c r="AH70" s="176"/>
      <c r="AI70" s="176"/>
      <c r="AJ70" s="176"/>
      <c r="AK70" s="176"/>
      <c r="AL70" s="176"/>
      <c r="AM70" s="176"/>
      <c r="AN70" s="176"/>
      <c r="AO70" s="176"/>
      <c r="AP70" s="176"/>
      <c r="AQ70" s="176"/>
      <c r="AR70" s="176"/>
      <c r="AS70" s="176"/>
      <c r="AT70" s="176"/>
      <c r="AU70" s="176"/>
      <c r="AV70" s="176"/>
      <c r="AW70" s="176"/>
      <c r="AX70" s="176"/>
    </row>
    <row r="71" spans="1:50" s="177" customFormat="1">
      <c r="A71" s="176"/>
      <c r="B71" s="176" t="s">
        <v>543</v>
      </c>
      <c r="C71" s="176">
        <f>Output!D2</f>
        <v>5.3421899999999996</v>
      </c>
      <c r="D71" s="176">
        <f>Output!H2</f>
        <v>15.518674199999998</v>
      </c>
      <c r="E71" s="176">
        <f>Output!L2</f>
        <v>7.8172800000000002</v>
      </c>
      <c r="F71" s="176">
        <f>Output!D23</f>
        <v>1.2720688762305672</v>
      </c>
      <c r="G71" s="176">
        <f>Output!F23</f>
        <v>0.12713735510784002</v>
      </c>
      <c r="H71" s="176">
        <f>Output!H23</f>
        <v>0.13426440000000001</v>
      </c>
      <c r="I71" s="176">
        <f>Output!J23</f>
        <v>0.70200857142857143</v>
      </c>
      <c r="J71" s="176">
        <f>Output!C44</f>
        <v>7.1318217169068394E-4</v>
      </c>
      <c r="K71" s="176">
        <f>Output!E44</f>
        <v>0.2941573535810752</v>
      </c>
      <c r="L71" s="176">
        <f>Doors!B26+Doors!C26</f>
        <v>2.9571026488095242E-2</v>
      </c>
      <c r="M71" s="176">
        <f>Output!L23</f>
        <v>1.4570150399999999</v>
      </c>
      <c r="N71" s="176">
        <f>Output!M23</f>
        <v>1.2564200000000001</v>
      </c>
      <c r="O71" s="176">
        <f>Charcooler!J3</f>
        <v>0.14005000000000001</v>
      </c>
      <c r="P71" s="176"/>
      <c r="Q71" s="176"/>
      <c r="R71" s="176">
        <v>0</v>
      </c>
      <c r="S71" s="176"/>
      <c r="T71" s="176"/>
      <c r="U71" s="176"/>
      <c r="V71" s="176"/>
      <c r="W71" s="176"/>
      <c r="X71" s="176"/>
      <c r="Y71" s="176" t="s">
        <v>518</v>
      </c>
      <c r="Z71" s="176">
        <f>C72+D72+E72</f>
        <v>3970.8699582238942</v>
      </c>
      <c r="AA71" s="176">
        <f>C82+D82+E82</f>
        <v>163.52573435999997</v>
      </c>
      <c r="AB71" s="176">
        <f>C88+D88+E88</f>
        <v>201.70304043999997</v>
      </c>
      <c r="AC71" s="176">
        <f>C80+D80+E80</f>
        <v>27968.138611319999</v>
      </c>
      <c r="AD71" s="176"/>
      <c r="AE71" s="176"/>
      <c r="AF71" s="176" t="s">
        <v>543</v>
      </c>
      <c r="AG71" s="124" t="s">
        <v>590</v>
      </c>
      <c r="AH71" s="176"/>
      <c r="AI71" s="176"/>
      <c r="AJ71" s="176"/>
      <c r="AK71" s="176"/>
      <c r="AL71" s="176"/>
      <c r="AM71" s="176"/>
      <c r="AN71" s="176"/>
      <c r="AO71" s="176"/>
      <c r="AP71" s="176"/>
      <c r="AQ71" s="176"/>
      <c r="AR71" s="176"/>
      <c r="AS71" s="176"/>
      <c r="AT71" s="176"/>
      <c r="AU71" s="176"/>
      <c r="AV71" s="176"/>
      <c r="AW71" s="176"/>
      <c r="AX71" s="176"/>
    </row>
    <row r="72" spans="1:50" s="177" customFormat="1" ht="18">
      <c r="A72" s="176"/>
      <c r="B72" s="176" t="s">
        <v>544</v>
      </c>
      <c r="C72" s="176">
        <f>Output!D3</f>
        <v>446.82900000000006</v>
      </c>
      <c r="D72" s="176">
        <f>Output!H3</f>
        <v>2735.3348382238937</v>
      </c>
      <c r="E72" s="176">
        <f>Output!L3</f>
        <v>788.70612000000006</v>
      </c>
      <c r="F72" s="176">
        <f>Output!D24</f>
        <v>402.64703408923742</v>
      </c>
      <c r="G72" s="176">
        <f>Output!F24</f>
        <v>37.370387370032645</v>
      </c>
      <c r="H72" s="176">
        <f>Output!H24</f>
        <v>47.548627199999999</v>
      </c>
      <c r="I72" s="176">
        <f>Output!J24</f>
        <v>258.74395714285714</v>
      </c>
      <c r="J72" s="176">
        <f>Output!C45</f>
        <v>0.1974234028680491</v>
      </c>
      <c r="K72" s="176">
        <f>Output!E45</f>
        <v>102.66036190902507</v>
      </c>
      <c r="L72" s="176">
        <f>Doors!B27+Doors!C27</f>
        <v>11.861733245684524</v>
      </c>
      <c r="M72" s="176">
        <f>Output!L24</f>
        <v>443.49443842859995</v>
      </c>
      <c r="N72" s="176">
        <f>Output!M24</f>
        <v>311.3143</v>
      </c>
      <c r="O72" s="176">
        <f>Charcooler!J4</f>
        <v>78.322379999999995</v>
      </c>
      <c r="P72" s="176">
        <f>-Biogenic!F6-IF(L36="Straw",Biogenic!B10,0)-IF(E13="Timber",Biogenic!J10,0)-Biogenic!B22-Biogenic!F13-Biogenic!F17</f>
        <v>-3231.991367049608</v>
      </c>
      <c r="Q72" s="179">
        <f>-AA44</f>
        <v>0</v>
      </c>
      <c r="R72" s="176">
        <f>SUM(T43:T52)</f>
        <v>249.96184094610558</v>
      </c>
      <c r="S72" s="176"/>
      <c r="T72" s="176"/>
      <c r="U72" s="176"/>
      <c r="V72" s="176"/>
      <c r="W72" s="176"/>
      <c r="X72" s="176"/>
      <c r="Y72" s="176" t="s">
        <v>519</v>
      </c>
      <c r="Z72" s="176">
        <f>F72+G72+H72+I72+J72+K72+L72+M72+N72+O72</f>
        <v>1694.1606427883048</v>
      </c>
      <c r="AA72" s="176">
        <f>F82+G82+H82+I82+J82+K82+L82+M82+N82+O82</f>
        <v>6910.464223718408</v>
      </c>
      <c r="AB72" s="176">
        <f>F88+G88+H88+I88+J88+K88+L88+M88+N88+O88</f>
        <v>20.544234741235243</v>
      </c>
      <c r="AC72" s="176">
        <f>F79+H79+G79+J79+I79+K79+L79+M79+N79+O79</f>
        <v>527.01168951918874</v>
      </c>
      <c r="AD72" s="176"/>
      <c r="AE72" s="176"/>
      <c r="AF72" s="176" t="s">
        <v>544</v>
      </c>
      <c r="AG72" s="124" t="s">
        <v>813</v>
      </c>
      <c r="AH72" s="176"/>
      <c r="AI72" s="176"/>
      <c r="AJ72" s="176"/>
      <c r="AK72" s="176"/>
      <c r="AL72" s="176"/>
      <c r="AM72" s="176"/>
      <c r="AN72" s="176"/>
      <c r="AO72" s="176"/>
      <c r="AP72" s="176"/>
      <c r="AQ72" s="176"/>
      <c r="AR72" s="176"/>
      <c r="AS72" s="176"/>
      <c r="AT72" s="176"/>
      <c r="AU72" s="176"/>
      <c r="AV72" s="176"/>
      <c r="AW72" s="176"/>
      <c r="AX72" s="176"/>
    </row>
    <row r="73" spans="1:50" s="177" customFormat="1">
      <c r="A73" s="176"/>
      <c r="B73" s="176" t="s">
        <v>545</v>
      </c>
      <c r="C73" s="176">
        <f>Output!D4</f>
        <v>217.08930000000001</v>
      </c>
      <c r="D73" s="176">
        <f>Output!H4</f>
        <v>386.64268031999995</v>
      </c>
      <c r="E73" s="176">
        <f>Output!L4</f>
        <v>1542.4512</v>
      </c>
      <c r="F73" s="176">
        <f>Output!D25</f>
        <v>31.999463685487711</v>
      </c>
      <c r="G73" s="176">
        <f>Output!F25</f>
        <v>0.83200826370816006</v>
      </c>
      <c r="H73" s="176">
        <f>Output!H25</f>
        <v>1.24221</v>
      </c>
      <c r="I73" s="176">
        <f>Output!J25</f>
        <v>6.5695542857142861</v>
      </c>
      <c r="J73" s="176">
        <f>Output!C46</f>
        <v>1.1002899800343547E-2</v>
      </c>
      <c r="K73" s="176">
        <f>Output!E46</f>
        <v>2.5135066612309407</v>
      </c>
      <c r="L73" s="176">
        <f>Doors!B28+Doors!C28</f>
        <v>0.27550263477182541</v>
      </c>
      <c r="M73" s="176">
        <f>Output!L25</f>
        <v>10.338606719999998</v>
      </c>
      <c r="N73" s="176">
        <f>Output!M25</f>
        <v>8.9842499999999994</v>
      </c>
      <c r="O73" s="176">
        <f>Charcooler!J5</f>
        <v>1.8365</v>
      </c>
      <c r="P73" s="176"/>
      <c r="Q73" s="176"/>
      <c r="R73" s="176">
        <v>0</v>
      </c>
      <c r="S73" s="176"/>
      <c r="T73" s="176"/>
      <c r="U73" s="176"/>
      <c r="V73" s="176"/>
      <c r="W73" s="176"/>
      <c r="X73" s="176"/>
      <c r="Y73" s="176" t="s">
        <v>517</v>
      </c>
      <c r="Z73" s="176">
        <f>P72</f>
        <v>-3231.991367049608</v>
      </c>
      <c r="AA73" s="176"/>
      <c r="AB73" s="176"/>
      <c r="AC73" s="176"/>
      <c r="AD73" s="176"/>
      <c r="AE73" s="176"/>
      <c r="AF73" s="176" t="s">
        <v>545</v>
      </c>
      <c r="AG73" s="124" t="s">
        <v>592</v>
      </c>
      <c r="AH73" s="176"/>
      <c r="AI73" s="176"/>
      <c r="AJ73" s="176"/>
      <c r="AK73" s="176"/>
      <c r="AL73" s="176"/>
      <c r="AM73" s="176"/>
      <c r="AN73" s="176"/>
      <c r="AO73" s="176"/>
      <c r="AP73" s="176"/>
      <c r="AQ73" s="176"/>
      <c r="AR73" s="176"/>
      <c r="AS73" s="176"/>
      <c r="AT73" s="176"/>
      <c r="AU73" s="176"/>
      <c r="AV73" s="176"/>
      <c r="AW73" s="176"/>
      <c r="AX73" s="176"/>
    </row>
    <row r="74" spans="1:50" s="177" customFormat="1">
      <c r="A74" s="176"/>
      <c r="B74" s="176" t="s">
        <v>546</v>
      </c>
      <c r="C74" s="176">
        <f>Output!D5</f>
        <v>282.60569999999996</v>
      </c>
      <c r="D74" s="176">
        <f>Output!H5</f>
        <v>574.36606375999997</v>
      </c>
      <c r="E74" s="176">
        <f>Output!L5</f>
        <v>1925.6302799999999</v>
      </c>
      <c r="F74" s="176">
        <f>Output!D26</f>
        <v>44.548952936353928</v>
      </c>
      <c r="G74" s="176">
        <f>Output!F26</f>
        <v>1.1673176544691202</v>
      </c>
      <c r="H74" s="176">
        <f>Output!H26</f>
        <v>1.6635041999999998</v>
      </c>
      <c r="I74" s="176">
        <f>Output!J26</f>
        <v>9.175928571428571</v>
      </c>
      <c r="J74" s="176">
        <f>Output!C47</f>
        <v>1.4338837072381046E-2</v>
      </c>
      <c r="K74" s="176">
        <f>Output!E47</f>
        <v>3.3327667741735203</v>
      </c>
      <c r="L74" s="176">
        <f>Doors!B29+Doors!C29</f>
        <v>0.39443571832837299</v>
      </c>
      <c r="M74" s="176">
        <f>Output!L26</f>
        <v>14.453899199999999</v>
      </c>
      <c r="N74" s="176">
        <f>Output!M26</f>
        <v>12.3475</v>
      </c>
      <c r="O74" s="176">
        <f>Charcooler!J6</f>
        <v>2.4522900000000001</v>
      </c>
      <c r="P74" s="176"/>
      <c r="Q74" s="176"/>
      <c r="R74" s="176">
        <v>0</v>
      </c>
      <c r="S74" s="176"/>
      <c r="T74" s="176"/>
      <c r="U74" s="176"/>
      <c r="V74" s="176"/>
      <c r="W74" s="176"/>
      <c r="X74" s="176"/>
      <c r="Y74" s="176" t="s">
        <v>482</v>
      </c>
      <c r="Z74" s="176">
        <f>R72</f>
        <v>249.96184094610558</v>
      </c>
      <c r="AA74" s="176"/>
      <c r="AB74" s="176"/>
      <c r="AC74" s="176"/>
      <c r="AD74" s="176"/>
      <c r="AE74" s="176"/>
      <c r="AF74" s="176" t="s">
        <v>546</v>
      </c>
      <c r="AG74" s="124" t="s">
        <v>592</v>
      </c>
      <c r="AH74" s="176"/>
      <c r="AI74" s="176"/>
      <c r="AJ74" s="176"/>
      <c r="AK74" s="176"/>
      <c r="AL74" s="176"/>
      <c r="AM74" s="176"/>
      <c r="AN74" s="176"/>
      <c r="AO74" s="176"/>
      <c r="AP74" s="176"/>
      <c r="AQ74" s="176"/>
      <c r="AR74" s="176"/>
      <c r="AS74" s="176"/>
      <c r="AT74" s="176"/>
      <c r="AU74" s="176"/>
      <c r="AV74" s="176"/>
      <c r="AW74" s="176"/>
      <c r="AX74" s="176"/>
    </row>
    <row r="75" spans="1:50" s="177" customFormat="1">
      <c r="A75" s="176"/>
      <c r="B75" s="176" t="s">
        <v>547</v>
      </c>
      <c r="C75" s="176">
        <f>Output!D6</f>
        <v>17162.82</v>
      </c>
      <c r="D75" s="176">
        <f>Output!H6</f>
        <v>111487.72005079998</v>
      </c>
      <c r="E75" s="176">
        <f>Output!L6</f>
        <v>27548.251080000002</v>
      </c>
      <c r="F75" s="176">
        <f>Output!D27</f>
        <v>2677.7987177088216</v>
      </c>
      <c r="G75" s="176">
        <f>Output!F27</f>
        <v>161.36770024311554</v>
      </c>
      <c r="H75" s="176">
        <f>Output!H27</f>
        <v>109.84995179999999</v>
      </c>
      <c r="I75" s="176">
        <f>Output!J27</f>
        <v>1214.8374257142855</v>
      </c>
      <c r="J75" s="176">
        <f>Output!C48</f>
        <v>1.2264928903177548</v>
      </c>
      <c r="K75" s="176">
        <f>Output!E48</f>
        <v>168.16512904436971</v>
      </c>
      <c r="L75" s="176">
        <f>Doors!B30+Doors!C30</f>
        <v>58.34539084491567</v>
      </c>
      <c r="M75" s="176">
        <f>Output!L27</f>
        <v>1600.1822678399999</v>
      </c>
      <c r="N75" s="176">
        <f>Output!M27</f>
        <v>1100.94127</v>
      </c>
      <c r="O75" s="176">
        <f>Charcooler!J7</f>
        <v>148.55942999999999</v>
      </c>
      <c r="P75" s="176"/>
      <c r="Q75" s="176"/>
      <c r="R75" s="176">
        <v>0</v>
      </c>
      <c r="S75" s="176"/>
      <c r="T75" s="176"/>
      <c r="U75" s="176"/>
      <c r="V75" s="176"/>
      <c r="W75" s="176"/>
      <c r="X75" s="176"/>
      <c r="Y75" s="176"/>
      <c r="Z75" s="176"/>
      <c r="AA75" s="176"/>
      <c r="AB75" s="176"/>
      <c r="AC75" s="176"/>
      <c r="AD75" s="176"/>
      <c r="AE75" s="176"/>
      <c r="AF75" s="176" t="s">
        <v>547</v>
      </c>
      <c r="AG75" s="124" t="s">
        <v>592</v>
      </c>
      <c r="AH75" s="176"/>
      <c r="AI75" s="176"/>
      <c r="AJ75" s="176"/>
      <c r="AK75" s="176"/>
      <c r="AL75" s="176"/>
      <c r="AM75" s="176"/>
      <c r="AN75" s="176"/>
      <c r="AO75" s="176"/>
      <c r="AP75" s="176"/>
      <c r="AQ75" s="176"/>
      <c r="AR75" s="176"/>
      <c r="AS75" s="176"/>
      <c r="AT75" s="176"/>
      <c r="AU75" s="176"/>
      <c r="AV75" s="176"/>
      <c r="AW75" s="176"/>
      <c r="AX75" s="176"/>
    </row>
    <row r="76" spans="1:50" s="177" customFormat="1">
      <c r="A76" s="176"/>
      <c r="B76" s="176" t="s">
        <v>548</v>
      </c>
      <c r="C76" s="176">
        <f>Output!D7</f>
        <v>118.7226</v>
      </c>
      <c r="D76" s="176">
        <f>Output!H7</f>
        <v>1129.3373318399999</v>
      </c>
      <c r="E76" s="176">
        <f>Output!L7</f>
        <v>187.29204000000001</v>
      </c>
      <c r="F76" s="176">
        <f>Output!D28</f>
        <v>89.934531375811247</v>
      </c>
      <c r="G76" s="176">
        <f>Output!F28</f>
        <v>10.384410142149122</v>
      </c>
      <c r="H76" s="176">
        <f>Output!H28</f>
        <v>28.100375999999997</v>
      </c>
      <c r="I76" s="176">
        <f>Output!J28</f>
        <v>58.100862857142857</v>
      </c>
      <c r="J76" s="176">
        <f>Output!C49</f>
        <v>4.9355850717012276E-2</v>
      </c>
      <c r="K76" s="176">
        <f>Output!E49</f>
        <v>56.209283864028613</v>
      </c>
      <c r="L76" s="176">
        <f>Doors!B31+Doors!C31</f>
        <v>2.1159108324404761</v>
      </c>
      <c r="M76" s="176">
        <f>Output!L28</f>
        <v>122.11026047999999</v>
      </c>
      <c r="N76" s="176">
        <f>Output!M28</f>
        <v>83.934950000000001</v>
      </c>
      <c r="O76" s="176">
        <f>Charcooler!J8</f>
        <v>10.822480000000001</v>
      </c>
      <c r="P76" s="176"/>
      <c r="Q76" s="176"/>
      <c r="R76" s="176">
        <v>0</v>
      </c>
      <c r="S76" s="176"/>
      <c r="T76" s="176"/>
      <c r="U76" s="176"/>
      <c r="V76" s="176"/>
      <c r="W76" s="176"/>
      <c r="X76" s="176"/>
      <c r="Y76" s="176"/>
      <c r="Z76" s="176"/>
      <c r="AA76" s="176"/>
      <c r="AB76" s="176"/>
      <c r="AC76" s="176"/>
      <c r="AD76" s="176"/>
      <c r="AE76" s="176"/>
      <c r="AF76" s="176" t="s">
        <v>548</v>
      </c>
      <c r="AG76" s="124" t="s">
        <v>593</v>
      </c>
      <c r="AH76" s="176"/>
      <c r="AI76" s="176"/>
      <c r="AJ76" s="176"/>
      <c r="AK76" s="176"/>
      <c r="AL76" s="176"/>
      <c r="AM76" s="176"/>
      <c r="AN76" s="176"/>
      <c r="AO76" s="176"/>
      <c r="AP76" s="176"/>
      <c r="AQ76" s="176"/>
      <c r="AR76" s="176"/>
      <c r="AS76" s="176"/>
      <c r="AT76" s="176"/>
      <c r="AU76" s="176"/>
      <c r="AV76" s="176"/>
      <c r="AW76" s="176"/>
      <c r="AX76" s="176"/>
    </row>
    <row r="77" spans="1:50" s="177" customFormat="1">
      <c r="A77" s="176"/>
      <c r="B77" s="176" t="s">
        <v>549</v>
      </c>
      <c r="C77" s="176">
        <f>Output!D8</f>
        <v>0.41015400000000002</v>
      </c>
      <c r="D77" s="176">
        <f>Output!H8</f>
        <v>1.9964659199999999</v>
      </c>
      <c r="E77" s="176">
        <f>Output!L8</f>
        <v>2.0307599999999999</v>
      </c>
      <c r="F77" s="176">
        <f>Output!D29</f>
        <v>0.17012428858742618</v>
      </c>
      <c r="G77" s="176">
        <f>Output!F29</f>
        <v>1.3193093168640001E-2</v>
      </c>
      <c r="H77" s="176">
        <f>Output!H29</f>
        <v>1.1629199999999999E-2</v>
      </c>
      <c r="I77" s="176">
        <f>Output!J29</f>
        <v>0.15550285714285711</v>
      </c>
      <c r="J77" s="176">
        <f>Output!C50</f>
        <v>4.5393069462943356E-5</v>
      </c>
      <c r="K77" s="176">
        <f>Output!E50</f>
        <v>2.883352004941736E-2</v>
      </c>
      <c r="L77" s="176">
        <f>Doors!B32+Doors!C32</f>
        <v>8.5738704613095209E-3</v>
      </c>
      <c r="M77" s="176">
        <f>Output!L29</f>
        <v>0.14725151999999997</v>
      </c>
      <c r="N77" s="176">
        <f>Output!M29</f>
        <v>0.11792</v>
      </c>
      <c r="O77" s="176">
        <f>Charcooler!J9</f>
        <v>3.0370000000000001E-2</v>
      </c>
      <c r="P77" s="176"/>
      <c r="Q77" s="176"/>
      <c r="R77" s="176">
        <v>0</v>
      </c>
      <c r="S77" s="176"/>
      <c r="T77" s="176"/>
      <c r="U77" s="176"/>
      <c r="V77" s="176"/>
      <c r="W77" s="176"/>
      <c r="X77" s="176"/>
      <c r="Y77" s="176"/>
      <c r="Z77" s="176"/>
      <c r="AA77" s="176"/>
      <c r="AB77" s="176"/>
      <c r="AC77" s="176"/>
      <c r="AD77" s="176"/>
      <c r="AE77" s="176"/>
      <c r="AF77" s="176" t="s">
        <v>549</v>
      </c>
      <c r="AG77" s="124" t="s">
        <v>594</v>
      </c>
      <c r="AH77" s="176"/>
      <c r="AI77" s="176"/>
      <c r="AJ77" s="176"/>
      <c r="AK77" s="176"/>
      <c r="AL77" s="176"/>
      <c r="AM77" s="176"/>
      <c r="AN77" s="176"/>
      <c r="AO77" s="176"/>
      <c r="AP77" s="176"/>
      <c r="AQ77" s="176"/>
      <c r="AR77" s="176"/>
      <c r="AS77" s="176"/>
      <c r="AT77" s="176"/>
      <c r="AU77" s="176"/>
      <c r="AV77" s="176"/>
      <c r="AW77" s="176"/>
      <c r="AX77" s="176"/>
    </row>
    <row r="78" spans="1:50">
      <c r="A78" s="180"/>
      <c r="B78" s="176" t="s">
        <v>550</v>
      </c>
      <c r="C78" s="176">
        <f>Output!D9</f>
        <v>4.2735000000000002E-2</v>
      </c>
      <c r="D78" s="176">
        <f>Output!H9</f>
        <v>0.40290827999999995</v>
      </c>
      <c r="E78" s="176">
        <f>Output!L9</f>
        <v>4.7160000000000007E-2</v>
      </c>
      <c r="F78" s="176">
        <f>Output!D30</f>
        <v>2.2624485443409396E-2</v>
      </c>
      <c r="G78" s="176">
        <f>Output!F30</f>
        <v>2.8313944243200002E-3</v>
      </c>
      <c r="H78" s="176">
        <f>Output!H30</f>
        <v>1.6942211460000002E-3</v>
      </c>
      <c r="I78" s="176">
        <f>Output!J30</f>
        <v>7.7571428571428574E-3</v>
      </c>
      <c r="J78" s="176">
        <f>Output!C51</f>
        <v>2.6918187422551324E-5</v>
      </c>
      <c r="K78" s="176">
        <f>Output!E51</f>
        <v>2.772453850905516E-3</v>
      </c>
      <c r="L78" s="176">
        <f>Doors!B33+Doors!C33</f>
        <v>2.1181830583978176E-4</v>
      </c>
      <c r="M78" s="176">
        <f>Output!L30</f>
        <v>1.3675946169599999E-2</v>
      </c>
      <c r="N78" s="176">
        <f>Output!M30</f>
        <v>1.562E-2</v>
      </c>
      <c r="O78" s="176">
        <f>Charcooler!J10</f>
        <v>3.8500000000000001E-3</v>
      </c>
      <c r="P78" s="176"/>
      <c r="Q78" s="176">
        <f>M72</f>
        <v>443.49443842859995</v>
      </c>
      <c r="R78" s="180">
        <v>0</v>
      </c>
      <c r="S78" s="180"/>
      <c r="T78" s="176"/>
      <c r="U78" s="176"/>
      <c r="V78" s="176"/>
      <c r="W78" s="176"/>
      <c r="X78" s="176"/>
      <c r="Y78" s="176"/>
      <c r="Z78" s="123"/>
      <c r="AA78" s="123"/>
      <c r="AB78" s="123"/>
      <c r="AC78" s="123"/>
      <c r="AD78" s="123"/>
      <c r="AE78" s="123"/>
      <c r="AF78" s="176" t="s">
        <v>550</v>
      </c>
      <c r="AG78" s="124" t="s">
        <v>595</v>
      </c>
      <c r="AH78" s="123"/>
      <c r="AI78" s="123"/>
      <c r="AJ78" s="123"/>
      <c r="AK78" s="123"/>
      <c r="AL78" s="123"/>
      <c r="AM78" s="123"/>
      <c r="AN78" s="123"/>
      <c r="AO78" s="123"/>
      <c r="AP78" s="123"/>
      <c r="AQ78" s="123"/>
      <c r="AR78" s="123"/>
      <c r="AS78" s="123"/>
      <c r="AT78" s="123"/>
      <c r="AU78" s="123"/>
      <c r="AV78" s="123"/>
      <c r="AW78" s="123"/>
      <c r="AX78" s="123"/>
    </row>
    <row r="79" spans="1:50">
      <c r="A79" s="180"/>
      <c r="B79" s="176" t="s">
        <v>551</v>
      </c>
      <c r="C79" s="176">
        <f>Output!D10</f>
        <v>81.9696</v>
      </c>
      <c r="D79" s="176">
        <f>Output!H10</f>
        <v>381.77882131999991</v>
      </c>
      <c r="E79" s="176">
        <f>Output!L10</f>
        <v>414.97775999999999</v>
      </c>
      <c r="F79" s="176">
        <f>Output!D31</f>
        <v>445.56605119992065</v>
      </c>
      <c r="G79" s="176">
        <f>Output!F31</f>
        <v>3.8854821200025609</v>
      </c>
      <c r="H79" s="176">
        <f>Output!H31</f>
        <v>1.961106</v>
      </c>
      <c r="I79" s="176">
        <f>Output!J31</f>
        <v>19.048765714285715</v>
      </c>
      <c r="J79" s="176">
        <f>Output!C52</f>
        <v>1.0761056131830185E-2</v>
      </c>
      <c r="K79" s="176">
        <f>Output!E52</f>
        <v>4.621126078689314</v>
      </c>
      <c r="L79" s="176">
        <f>Doors!B34+Doors!C34</f>
        <v>0.81619623015873011</v>
      </c>
      <c r="M79" s="176">
        <f>Output!L31</f>
        <v>25.296261119999997</v>
      </c>
      <c r="N79" s="176">
        <f>Output!M31</f>
        <v>22.484549999999999</v>
      </c>
      <c r="O79" s="176">
        <f>Charcooler!J11</f>
        <v>3.3213900000000001</v>
      </c>
      <c r="P79" s="176"/>
      <c r="Q79" s="176">
        <f>M89</f>
        <v>0</v>
      </c>
      <c r="R79" s="180">
        <v>0</v>
      </c>
      <c r="S79" s="180"/>
      <c r="T79" s="180"/>
      <c r="U79" s="180"/>
      <c r="V79" s="180"/>
      <c r="W79" s="180"/>
      <c r="X79" s="180"/>
      <c r="Y79" s="123"/>
      <c r="Z79" s="123"/>
      <c r="AA79" s="123"/>
      <c r="AB79" s="123"/>
      <c r="AC79" s="123"/>
      <c r="AD79" s="123"/>
      <c r="AE79" s="123"/>
      <c r="AF79" s="176" t="s">
        <v>551</v>
      </c>
      <c r="AG79" s="124" t="s">
        <v>592</v>
      </c>
      <c r="AH79" s="123"/>
      <c r="AI79" s="123"/>
      <c r="AJ79" s="123"/>
      <c r="AK79" s="123"/>
      <c r="AL79" s="123"/>
      <c r="AM79" s="123"/>
      <c r="AN79" s="123"/>
      <c r="AO79" s="123"/>
      <c r="AP79" s="123"/>
      <c r="AQ79" s="123"/>
      <c r="AR79" s="123"/>
      <c r="AS79" s="123"/>
      <c r="AT79" s="123"/>
      <c r="AU79" s="123"/>
      <c r="AV79" s="123"/>
      <c r="AW79" s="123"/>
      <c r="AX79" s="123"/>
    </row>
    <row r="80" spans="1:50">
      <c r="A80" s="180"/>
      <c r="B80" s="176" t="s">
        <v>552</v>
      </c>
      <c r="C80" s="176">
        <f>Output!D11</f>
        <v>3500.9700000000003</v>
      </c>
      <c r="D80" s="176">
        <f>Output!H11</f>
        <v>8462.9274913199988</v>
      </c>
      <c r="E80" s="176">
        <f>Output!L11</f>
        <v>16004.241120000001</v>
      </c>
      <c r="F80" s="176">
        <f>Output!D32</f>
        <v>421.58777615896861</v>
      </c>
      <c r="G80" s="176">
        <f>Output!F32</f>
        <v>20.819905868805122</v>
      </c>
      <c r="H80" s="176">
        <f>Output!H32</f>
        <v>29.369544600000001</v>
      </c>
      <c r="I80" s="176">
        <f>Output!J32</f>
        <v>-1877.8934228571427</v>
      </c>
      <c r="J80" s="176">
        <f>Output!C53</f>
        <v>0.2196335356907046</v>
      </c>
      <c r="K80" s="176">
        <f>Output!E53</f>
        <v>61.488313241537803</v>
      </c>
      <c r="L80" s="176">
        <f>Doors!B35+Doors!C35</f>
        <v>-127.09802404303076</v>
      </c>
      <c r="M80" s="176">
        <f>Output!L32</f>
        <v>304.5703939199999</v>
      </c>
      <c r="N80" s="176">
        <f>Output!M32</f>
        <v>261.04561999999999</v>
      </c>
      <c r="O80" s="176">
        <f>Charcooler!J12</f>
        <v>44.601410000000001</v>
      </c>
      <c r="P80" s="176"/>
      <c r="Q80" s="176"/>
      <c r="R80" s="180">
        <v>0</v>
      </c>
      <c r="S80" s="180"/>
      <c r="T80" s="180"/>
      <c r="U80" s="180"/>
      <c r="V80" s="180"/>
      <c r="W80" s="180"/>
      <c r="X80" s="180"/>
      <c r="Y80" s="123"/>
      <c r="Z80" s="123"/>
      <c r="AA80" s="123"/>
      <c r="AB80" s="123"/>
      <c r="AC80" s="123"/>
      <c r="AD80" s="123"/>
      <c r="AE80" s="123"/>
      <c r="AF80" s="176" t="s">
        <v>552</v>
      </c>
      <c r="AG80" s="124" t="s">
        <v>592</v>
      </c>
      <c r="AH80" s="123"/>
      <c r="AI80" s="123"/>
      <c r="AJ80" s="123"/>
      <c r="AK80" s="123"/>
      <c r="AL80" s="123"/>
      <c r="AM80" s="123"/>
      <c r="AN80" s="123"/>
      <c r="AO80" s="123"/>
      <c r="AP80" s="123"/>
      <c r="AQ80" s="123"/>
      <c r="AR80" s="123"/>
      <c r="AS80" s="123"/>
      <c r="AT80" s="123"/>
      <c r="AU80" s="123"/>
      <c r="AV80" s="123"/>
      <c r="AW80" s="123"/>
      <c r="AX80" s="123"/>
    </row>
    <row r="81" spans="1:50">
      <c r="A81" s="180"/>
      <c r="B81" s="176" t="s">
        <v>553</v>
      </c>
      <c r="C81" s="176">
        <f>Output!D12</f>
        <v>21.674100000000003</v>
      </c>
      <c r="D81" s="176">
        <f>Output!H12</f>
        <v>348.77357791999998</v>
      </c>
      <c r="E81" s="176">
        <f>Output!L12</f>
        <v>23.52252</v>
      </c>
      <c r="F81" s="176">
        <f>Output!D33</f>
        <v>10.35213757217721</v>
      </c>
      <c r="G81" s="176">
        <f>Output!F33</f>
        <v>2.27166475269888</v>
      </c>
      <c r="H81" s="176">
        <f>Output!H33</f>
        <v>2.9966333999999999</v>
      </c>
      <c r="I81" s="176">
        <f>Output!J33</f>
        <v>6.5817342857142851</v>
      </c>
      <c r="J81" s="176">
        <f>Output!C54</f>
        <v>3.731943940265449E-3</v>
      </c>
      <c r="K81" s="176">
        <f>Output!E54</f>
        <v>6.9912968758284393</v>
      </c>
      <c r="L81" s="176">
        <f>Doors!B36+Doors!C36</f>
        <v>0.13872245543154763</v>
      </c>
      <c r="M81" s="176">
        <f>Output!L33</f>
        <v>27.040029119999993</v>
      </c>
      <c r="N81" s="176">
        <f>Output!M33</f>
        <v>26.582380000000001</v>
      </c>
      <c r="O81" s="176">
        <f>Charcooler!J13</f>
        <v>4.3104800000000001</v>
      </c>
      <c r="P81" s="176"/>
      <c r="Q81" s="176"/>
      <c r="R81" s="180">
        <v>0</v>
      </c>
      <c r="S81" s="180"/>
      <c r="T81" s="180"/>
      <c r="U81" s="180"/>
      <c r="V81" s="180"/>
      <c r="W81" s="180"/>
      <c r="X81" s="180"/>
      <c r="Y81" s="123"/>
      <c r="Z81" s="123"/>
      <c r="AA81" s="123"/>
      <c r="AB81" s="123"/>
      <c r="AC81" s="123"/>
      <c r="AD81" s="123"/>
      <c r="AE81" s="123"/>
      <c r="AF81" s="176" t="s">
        <v>553</v>
      </c>
      <c r="AG81" s="124" t="s">
        <v>596</v>
      </c>
      <c r="AH81" s="123"/>
      <c r="AI81" s="123"/>
      <c r="AJ81" s="123"/>
      <c r="AK81" s="123"/>
      <c r="AL81" s="123"/>
      <c r="AM81" s="123"/>
      <c r="AN81" s="123"/>
      <c r="AO81" s="123"/>
      <c r="AP81" s="123"/>
      <c r="AQ81" s="123"/>
      <c r="AR81" s="123"/>
      <c r="AS81" s="123"/>
      <c r="AT81" s="123"/>
      <c r="AU81" s="123"/>
      <c r="AV81" s="123"/>
      <c r="AW81" s="123"/>
      <c r="AX81" s="123"/>
    </row>
    <row r="82" spans="1:50">
      <c r="A82" s="180"/>
      <c r="B82" s="176" t="s">
        <v>554</v>
      </c>
      <c r="C82" s="176">
        <f>Output!D13</f>
        <v>19.378589999999999</v>
      </c>
      <c r="D82" s="176">
        <f>Output!H13</f>
        <v>116.85914435999997</v>
      </c>
      <c r="E82" s="176">
        <f>Output!L13</f>
        <v>27.288</v>
      </c>
      <c r="F82" s="176">
        <f>Output!D34</f>
        <v>11.040612545866358</v>
      </c>
      <c r="G82" s="176">
        <f>Output!F34</f>
        <v>707.52098190267657</v>
      </c>
      <c r="H82" s="176">
        <f>Output!H34</f>
        <v>1.3785888000000002</v>
      </c>
      <c r="I82" s="176">
        <f>Output!J34</f>
        <v>4698.2450314285716</v>
      </c>
      <c r="J82" s="176">
        <f>Output!C55</f>
        <v>1.1647980769214896</v>
      </c>
      <c r="K82" s="176">
        <f>Output!E55</f>
        <v>6.2291493122145125</v>
      </c>
      <c r="L82" s="176">
        <f>Doors!B37+Doors!C37</f>
        <v>247.00056245215774</v>
      </c>
      <c r="M82" s="176">
        <f>Output!L34</f>
        <v>26.079019199999994</v>
      </c>
      <c r="N82" s="176">
        <f>Output!M34</f>
        <v>1165.9322400000001</v>
      </c>
      <c r="O82" s="176">
        <f>Charcooler!J14</f>
        <v>45.873240000000003</v>
      </c>
      <c r="P82" s="176"/>
      <c r="Q82" s="176"/>
      <c r="R82" s="180">
        <v>0</v>
      </c>
      <c r="S82" s="180"/>
      <c r="T82" s="180"/>
      <c r="U82" s="180"/>
      <c r="V82" s="180"/>
      <c r="W82" s="180"/>
      <c r="X82" s="180"/>
      <c r="Y82" s="123"/>
      <c r="Z82" s="123"/>
      <c r="AA82" s="123"/>
      <c r="AB82" s="123"/>
      <c r="AC82" s="123"/>
      <c r="AD82" s="123"/>
      <c r="AE82" s="123"/>
      <c r="AF82" s="176" t="s">
        <v>554</v>
      </c>
      <c r="AG82" s="124" t="s">
        <v>597</v>
      </c>
      <c r="AH82" s="123"/>
      <c r="AI82" s="123"/>
      <c r="AJ82" s="123"/>
      <c r="AK82" s="123"/>
      <c r="AL82" s="123"/>
      <c r="AM82" s="123"/>
      <c r="AN82" s="123"/>
      <c r="AO82" s="123"/>
      <c r="AP82" s="123"/>
      <c r="AQ82" s="123"/>
      <c r="AR82" s="123"/>
      <c r="AS82" s="123"/>
      <c r="AT82" s="123"/>
      <c r="AU82" s="123"/>
      <c r="AV82" s="123"/>
      <c r="AW82" s="123"/>
      <c r="AX82" s="123"/>
    </row>
    <row r="83" spans="1:50">
      <c r="A83" s="180"/>
      <c r="B83" s="176" t="s">
        <v>555</v>
      </c>
      <c r="C83" s="176">
        <f>Output!D14</f>
        <v>163.9821</v>
      </c>
      <c r="D83" s="176">
        <f>Output!H14</f>
        <v>103.08485116</v>
      </c>
      <c r="E83" s="176">
        <f>Output!L14</f>
        <v>59.306760000000004</v>
      </c>
      <c r="F83" s="176">
        <f>Output!D35</f>
        <v>50.079225075768456</v>
      </c>
      <c r="G83" s="176">
        <f>Output!F35</f>
        <v>0.45726589649664001</v>
      </c>
      <c r="H83" s="176">
        <f>Output!H35</f>
        <v>0.31134539999999999</v>
      </c>
      <c r="I83" s="176">
        <f>Output!J35</f>
        <v>4.3160057142857138</v>
      </c>
      <c r="J83" s="176">
        <f>Output!C56</f>
        <v>3.717754133184308E-3</v>
      </c>
      <c r="K83" s="176">
        <f>Output!E56</f>
        <v>0.67536975808058364</v>
      </c>
      <c r="L83" s="176">
        <f>Doors!B38+Doors!C38</f>
        <v>0.18844226800595235</v>
      </c>
      <c r="M83" s="176">
        <f>Output!L35</f>
        <v>2.6195270399999999</v>
      </c>
      <c r="N83" s="176">
        <f>Output!M35</f>
        <v>4.88103</v>
      </c>
      <c r="O83" s="176">
        <f>Charcooler!J15</f>
        <v>0.44468999999999997</v>
      </c>
      <c r="P83" s="176"/>
      <c r="Q83" s="176"/>
      <c r="R83" s="180">
        <v>0</v>
      </c>
      <c r="S83" s="180"/>
      <c r="T83" s="180"/>
      <c r="U83" s="180"/>
      <c r="V83" s="180"/>
      <c r="W83" s="180"/>
      <c r="X83" s="180"/>
      <c r="Y83" s="123"/>
      <c r="Z83" s="123"/>
      <c r="AA83" s="123"/>
      <c r="AB83" s="123"/>
      <c r="AC83" s="123"/>
      <c r="AD83" s="123"/>
      <c r="AE83" s="123"/>
      <c r="AF83" s="176" t="s">
        <v>555</v>
      </c>
      <c r="AG83" s="124" t="s">
        <v>598</v>
      </c>
      <c r="AH83" s="123"/>
      <c r="AI83" s="123"/>
      <c r="AJ83" s="123"/>
      <c r="AK83" s="123"/>
      <c r="AL83" s="123"/>
      <c r="AM83" s="123"/>
      <c r="AN83" s="123"/>
      <c r="AO83" s="123"/>
      <c r="AP83" s="123"/>
      <c r="AQ83" s="123"/>
      <c r="AR83" s="123"/>
      <c r="AS83" s="123"/>
      <c r="AT83" s="123"/>
      <c r="AU83" s="123"/>
      <c r="AV83" s="123"/>
      <c r="AW83" s="123"/>
      <c r="AX83" s="123"/>
    </row>
    <row r="84" spans="1:50">
      <c r="A84" s="180"/>
      <c r="B84" s="176" t="s">
        <v>556</v>
      </c>
      <c r="C84" s="176">
        <f>Output!D15</f>
        <v>1.5841169999999998E-4</v>
      </c>
      <c r="D84" s="176">
        <f>Output!H15</f>
        <v>1.7646352555999998E-3</v>
      </c>
      <c r="E84" s="176">
        <f>Output!L15</f>
        <v>3.711252E-4</v>
      </c>
      <c r="F84" s="176">
        <f>Output!D36</f>
        <v>8.8474069475176785E-5</v>
      </c>
      <c r="G84" s="176">
        <f>Output!F36</f>
        <v>1.7454987231897603E-5</v>
      </c>
      <c r="H84" s="176">
        <f>Output!H36</f>
        <v>8.7773501400000008E-6</v>
      </c>
      <c r="I84" s="176">
        <f>Output!J36</f>
        <v>2.5533761999999996E-3</v>
      </c>
      <c r="J84" s="176">
        <f>Output!C57</f>
        <v>9.3709239184601759E-7</v>
      </c>
      <c r="K84" s="176">
        <f>Output!E57</f>
        <v>2.2499350185330551E-5</v>
      </c>
      <c r="L84" s="176">
        <f>Doors!B39+Doors!C39</f>
        <v>1.6599798497163196E-4</v>
      </c>
      <c r="M84" s="176">
        <f>Output!L36</f>
        <v>1.2912718291200001E-4</v>
      </c>
      <c r="N84" s="176">
        <f>Output!M36</f>
        <v>1.352824E-4</v>
      </c>
      <c r="O84" s="176">
        <f>Charcooler!J16</f>
        <v>1.2999999999999999E-4</v>
      </c>
      <c r="P84" s="176"/>
      <c r="Q84" s="176"/>
      <c r="R84" s="180">
        <v>0</v>
      </c>
      <c r="S84" s="180"/>
      <c r="T84" s="180"/>
      <c r="U84" s="180"/>
      <c r="V84" s="180"/>
      <c r="W84" s="180"/>
      <c r="X84" s="180"/>
      <c r="Y84" s="123"/>
      <c r="Z84" s="123"/>
      <c r="AA84" s="123"/>
      <c r="AB84" s="123"/>
      <c r="AC84" s="123"/>
      <c r="AD84" s="123"/>
      <c r="AE84" s="123"/>
      <c r="AF84" s="176" t="s">
        <v>556</v>
      </c>
      <c r="AG84" s="124" t="s">
        <v>599</v>
      </c>
      <c r="AH84" s="123"/>
      <c r="AI84" s="123"/>
      <c r="AJ84" s="123"/>
      <c r="AK84" s="123"/>
      <c r="AL84" s="123"/>
      <c r="AM84" s="123"/>
      <c r="AN84" s="123"/>
      <c r="AO84" s="123"/>
      <c r="AP84" s="123"/>
      <c r="AQ84" s="123"/>
      <c r="AR84" s="123"/>
      <c r="AS84" s="123"/>
      <c r="AT84" s="123"/>
      <c r="AU84" s="123"/>
      <c r="AV84" s="123"/>
      <c r="AW84" s="123"/>
      <c r="AX84" s="123"/>
    </row>
    <row r="85" spans="1:50">
      <c r="A85" s="180"/>
      <c r="B85" s="176" t="s">
        <v>557</v>
      </c>
      <c r="C85" s="176">
        <f>Output!D16</f>
        <v>1.6617479999999998</v>
      </c>
      <c r="D85" s="176">
        <f>Output!H16</f>
        <v>7.9928606399999991</v>
      </c>
      <c r="E85" s="176">
        <f>Output!L16</f>
        <v>2.7891599999999999</v>
      </c>
      <c r="F85" s="176">
        <f>Output!D37</f>
        <v>0.78271633784940486</v>
      </c>
      <c r="G85" s="176">
        <f>Output!F37</f>
        <v>6.3684859391999998E-2</v>
      </c>
      <c r="H85" s="176">
        <f>Output!H37</f>
        <v>5.9731799999999995E-2</v>
      </c>
      <c r="I85" s="176">
        <f>Output!J37</f>
        <v>0.36030000000000006</v>
      </c>
      <c r="J85" s="176">
        <f>Output!C58</f>
        <v>2.502292275501805E-4</v>
      </c>
      <c r="K85" s="176">
        <f>Output!E58</f>
        <v>0.13834544716018524</v>
      </c>
      <c r="L85" s="176">
        <f>Doors!B40+Doors!C40</f>
        <v>1.5536938715277778E-2</v>
      </c>
      <c r="M85" s="176">
        <f>Output!L37</f>
        <v>0.8912591999999997</v>
      </c>
      <c r="N85" s="176">
        <f>Output!M37</f>
        <v>0.75724000000000002</v>
      </c>
      <c r="O85" s="176">
        <f>Charcooler!J17</f>
        <v>8.8569999999999996E-2</v>
      </c>
      <c r="P85" s="176"/>
      <c r="Q85" s="176"/>
      <c r="R85" s="180">
        <v>0</v>
      </c>
      <c r="S85" s="180"/>
      <c r="T85" s="180"/>
      <c r="U85" s="180"/>
      <c r="V85" s="180"/>
      <c r="W85" s="180"/>
      <c r="X85" s="180"/>
      <c r="Y85" s="123"/>
      <c r="Z85" s="123"/>
      <c r="AA85" s="123"/>
      <c r="AB85" s="123"/>
      <c r="AC85" s="123"/>
      <c r="AD85" s="123"/>
      <c r="AE85" s="123"/>
      <c r="AF85" s="176" t="s">
        <v>557</v>
      </c>
      <c r="AG85" s="124" t="s">
        <v>600</v>
      </c>
      <c r="AH85" s="123"/>
      <c r="AI85" s="123"/>
      <c r="AJ85" s="123"/>
      <c r="AK85" s="123"/>
      <c r="AL85" s="123"/>
      <c r="AM85" s="123"/>
      <c r="AN85" s="123"/>
      <c r="AO85" s="123"/>
      <c r="AP85" s="123"/>
      <c r="AQ85" s="123"/>
      <c r="AR85" s="123"/>
      <c r="AS85" s="123"/>
      <c r="AT85" s="123"/>
      <c r="AU85" s="123"/>
      <c r="AV85" s="123"/>
      <c r="AW85" s="123"/>
      <c r="AX85" s="123"/>
    </row>
    <row r="86" spans="1:50">
      <c r="A86" s="180"/>
      <c r="B86" s="176" t="s">
        <v>558</v>
      </c>
      <c r="C86" s="176">
        <f>Output!D17</f>
        <v>1.457835</v>
      </c>
      <c r="D86" s="176">
        <f>Output!H17</f>
        <v>11.118946879999999</v>
      </c>
      <c r="E86" s="176">
        <f>Output!L17</f>
        <v>3.8432399999999998</v>
      </c>
      <c r="F86" s="176">
        <f>Output!D38</f>
        <v>1.3276368976162096</v>
      </c>
      <c r="G86" s="176">
        <f>Output!F38</f>
        <v>0.19474657880832003</v>
      </c>
      <c r="H86" s="176">
        <f>Output!H38</f>
        <v>0.11576340000000002</v>
      </c>
      <c r="I86" s="176">
        <f>Output!J38</f>
        <v>1.1179714285714288</v>
      </c>
      <c r="J86" s="176">
        <f>Output!C59</f>
        <v>4.6627212510122251E-4</v>
      </c>
      <c r="K86" s="176">
        <f>Output!E59</f>
        <v>0.22096457191716959</v>
      </c>
      <c r="L86" s="176">
        <f>Doors!B41+Doors!C41</f>
        <v>5.2309796254960302E-2</v>
      </c>
      <c r="M86" s="176">
        <f>Output!L38</f>
        <v>1.2632630399999998</v>
      </c>
      <c r="N86" s="176">
        <f>Output!M38</f>
        <v>1.47532</v>
      </c>
      <c r="O86" s="176">
        <f>Charcooler!J18</f>
        <v>0.13700999999999999</v>
      </c>
      <c r="P86" s="176"/>
      <c r="Q86" s="176"/>
      <c r="R86" s="180">
        <v>0</v>
      </c>
      <c r="S86" s="180"/>
      <c r="T86" s="180"/>
      <c r="U86" s="180"/>
      <c r="V86" s="180"/>
      <c r="W86" s="180"/>
      <c r="X86" s="180"/>
      <c r="Y86" s="123"/>
      <c r="Z86" s="123"/>
      <c r="AA86" s="123"/>
      <c r="AB86" s="123"/>
      <c r="AC86" s="123"/>
      <c r="AD86" s="123"/>
      <c r="AE86" s="123"/>
      <c r="AF86" s="176" t="s">
        <v>558</v>
      </c>
      <c r="AG86" s="124" t="s">
        <v>601</v>
      </c>
      <c r="AH86" s="123"/>
      <c r="AI86" s="123"/>
      <c r="AJ86" s="123"/>
      <c r="AK86" s="123"/>
      <c r="AL86" s="123"/>
      <c r="AM86" s="123"/>
      <c r="AN86" s="123"/>
      <c r="AO86" s="123"/>
      <c r="AP86" s="123"/>
      <c r="AQ86" s="123"/>
      <c r="AR86" s="123"/>
      <c r="AS86" s="123"/>
      <c r="AT86" s="123"/>
      <c r="AU86" s="123"/>
      <c r="AV86" s="123"/>
      <c r="AW86" s="123"/>
      <c r="AX86" s="123"/>
    </row>
    <row r="87" spans="1:50">
      <c r="A87" s="180"/>
      <c r="B87" s="176" t="s">
        <v>559</v>
      </c>
      <c r="C87" s="176">
        <f>Output!D18</f>
        <v>1.5245700000000002</v>
      </c>
      <c r="D87" s="176">
        <f>Output!H18</f>
        <v>11.84507584</v>
      </c>
      <c r="E87" s="176">
        <f>Output!L18</f>
        <v>3.9367200000000002</v>
      </c>
      <c r="F87" s="176">
        <f>Output!D39</f>
        <v>1.4015016059343717</v>
      </c>
      <c r="G87" s="176">
        <f>Output!F39</f>
        <v>0.20610658075392002</v>
      </c>
      <c r="H87" s="176">
        <f>Output!H39</f>
        <v>0.12633540000000001</v>
      </c>
      <c r="I87" s="176">
        <f>Output!J39</f>
        <v>1.1627657142857144</v>
      </c>
      <c r="J87" s="176">
        <f>Output!C60</f>
        <v>5.0703265441586712E-4</v>
      </c>
      <c r="K87" s="176">
        <f>Output!E60</f>
        <v>0.23427235040151606</v>
      </c>
      <c r="L87" s="176">
        <f>Doors!B42+Doors!C42</f>
        <v>5.3970552380952393E-2</v>
      </c>
      <c r="M87" s="176">
        <f>Output!L39</f>
        <v>1.3020134399999996</v>
      </c>
      <c r="N87" s="176">
        <f>Output!M39</f>
        <v>1.6754100000000001</v>
      </c>
      <c r="O87" s="176">
        <f>Charcooler!J19</f>
        <v>0.15617</v>
      </c>
      <c r="P87" s="176"/>
      <c r="Q87" s="176"/>
      <c r="R87" s="180">
        <v>0</v>
      </c>
      <c r="S87" s="180"/>
      <c r="T87" s="180"/>
      <c r="U87" s="180"/>
      <c r="V87" s="180"/>
      <c r="W87" s="180"/>
      <c r="X87" s="180"/>
      <c r="Y87" s="123"/>
      <c r="Z87" s="123"/>
      <c r="AA87" s="123"/>
      <c r="AB87" s="123"/>
      <c r="AC87" s="123"/>
      <c r="AD87" s="123"/>
      <c r="AE87" s="123"/>
      <c r="AF87" s="176" t="s">
        <v>559</v>
      </c>
      <c r="AG87" s="124" t="s">
        <v>601</v>
      </c>
      <c r="AH87" s="123"/>
      <c r="AI87" s="123"/>
      <c r="AJ87" s="123"/>
      <c r="AK87" s="123"/>
      <c r="AL87" s="123"/>
      <c r="AM87" s="123"/>
      <c r="AN87" s="123"/>
      <c r="AO87" s="123"/>
      <c r="AP87" s="123"/>
      <c r="AQ87" s="123"/>
      <c r="AR87" s="123"/>
      <c r="AS87" s="123"/>
      <c r="AT87" s="123"/>
      <c r="AU87" s="123"/>
      <c r="AV87" s="123"/>
      <c r="AW87" s="123"/>
      <c r="AX87" s="123"/>
    </row>
    <row r="88" spans="1:50">
      <c r="A88" s="180"/>
      <c r="B88" s="176" t="s">
        <v>560</v>
      </c>
      <c r="C88" s="176">
        <f>Output!D19</f>
        <v>3.8627399999999996</v>
      </c>
      <c r="D88" s="176">
        <f>Output!H19</f>
        <v>187.05770043999996</v>
      </c>
      <c r="E88" s="176">
        <f>Output!L19</f>
        <v>10.782599999999999</v>
      </c>
      <c r="F88" s="176">
        <f>Output!D40</f>
        <v>3.4368905780392414</v>
      </c>
      <c r="G88" s="176">
        <f>Output!F40</f>
        <v>0.27282077399808002</v>
      </c>
      <c r="H88" s="176">
        <f>Output!H40</f>
        <v>0.71413859999999996</v>
      </c>
      <c r="I88" s="176">
        <f>Output!J40</f>
        <v>4.0267457142857142</v>
      </c>
      <c r="J88" s="176">
        <f>Output!C61</f>
        <v>3.3260907798194571E-3</v>
      </c>
      <c r="K88" s="176">
        <f>Output!E61</f>
        <v>0.84892536914726902</v>
      </c>
      <c r="L88" s="176">
        <f>Doors!B43+Doors!C43</f>
        <v>0.21890865498511908</v>
      </c>
      <c r="M88" s="176">
        <f>Output!L40</f>
        <v>7.6493289600000001</v>
      </c>
      <c r="N88" s="176">
        <f>Output!M40</f>
        <v>2.58874</v>
      </c>
      <c r="O88" s="176">
        <f>Charcooler!J20</f>
        <v>0.78441000000000005</v>
      </c>
      <c r="P88" s="176"/>
      <c r="Q88" s="176"/>
      <c r="R88" s="180">
        <v>0</v>
      </c>
      <c r="S88" s="180"/>
      <c r="T88" s="180"/>
      <c r="U88" s="180"/>
      <c r="V88" s="180"/>
      <c r="W88" s="180"/>
      <c r="X88" s="123"/>
      <c r="Y88" s="123"/>
      <c r="Z88" s="123"/>
      <c r="AA88" s="123"/>
      <c r="AB88" s="123"/>
      <c r="AC88" s="123"/>
      <c r="AD88" s="123"/>
      <c r="AE88" s="123"/>
      <c r="AF88" s="176" t="s">
        <v>560</v>
      </c>
      <c r="AG88" s="124" t="s">
        <v>105</v>
      </c>
      <c r="AH88" s="123"/>
      <c r="AI88" s="123"/>
      <c r="AJ88" s="123"/>
      <c r="AK88" s="123"/>
      <c r="AL88" s="123"/>
      <c r="AM88" s="123"/>
      <c r="AN88" s="123"/>
      <c r="AO88" s="123"/>
      <c r="AP88" s="123"/>
      <c r="AQ88" s="123"/>
      <c r="AR88" s="123"/>
      <c r="AS88" s="123"/>
      <c r="AT88" s="123"/>
      <c r="AU88" s="123"/>
      <c r="AV88" s="123"/>
      <c r="AW88" s="123"/>
      <c r="AX88" s="123"/>
    </row>
    <row r="89" spans="1:50">
      <c r="A89" s="180"/>
      <c r="B89" s="180" t="s">
        <v>561</v>
      </c>
      <c r="C89" s="180"/>
      <c r="D89" s="180"/>
      <c r="E89" s="180"/>
      <c r="F89" s="180"/>
      <c r="G89" s="180">
        <f>-Biogenic!F6</f>
        <v>-717.04144512000005</v>
      </c>
      <c r="H89" s="180"/>
      <c r="I89" s="180">
        <f>-IF(L36="Straw",Biogenic!B10,0)</f>
        <v>-1347.3216</v>
      </c>
      <c r="J89" s="180">
        <f>-Biogenic!B22</f>
        <v>-71.054401929608105</v>
      </c>
      <c r="K89" s="180"/>
      <c r="L89" s="180"/>
      <c r="M89" s="180">
        <f>-IF(E13="Timber",Biogenic!J10,0)</f>
        <v>0</v>
      </c>
      <c r="N89" s="180">
        <f>-Biogenic!F17</f>
        <v>-1045.24992</v>
      </c>
      <c r="O89" s="180">
        <f>-Biogenic!F13</f>
        <v>-51.324000000000005</v>
      </c>
      <c r="P89" s="180"/>
      <c r="Q89" s="180"/>
      <c r="R89" s="180"/>
      <c r="S89" s="180"/>
      <c r="T89" s="180"/>
      <c r="U89" s="180"/>
      <c r="V89" s="180"/>
      <c r="W89" s="180"/>
      <c r="X89" s="123"/>
      <c r="Y89" s="123"/>
      <c r="Z89" s="123"/>
      <c r="AA89" s="123"/>
      <c r="AB89" s="123"/>
      <c r="AC89" s="123"/>
      <c r="AD89" s="123"/>
      <c r="AE89" s="123"/>
      <c r="AF89" s="123"/>
      <c r="AG89" s="123"/>
      <c r="AH89" s="123"/>
      <c r="AI89" s="123"/>
      <c r="AJ89" s="123"/>
      <c r="AK89" s="123"/>
      <c r="AL89" s="123"/>
      <c r="AM89" s="123"/>
      <c r="AN89" s="123"/>
      <c r="AO89" s="123"/>
      <c r="AP89" s="123"/>
      <c r="AQ89" s="123"/>
      <c r="AR89" s="123"/>
      <c r="AS89" s="123"/>
      <c r="AT89" s="123"/>
      <c r="AU89" s="123"/>
      <c r="AV89" s="123"/>
      <c r="AW89" s="123"/>
      <c r="AX89" s="123"/>
    </row>
    <row r="90" spans="1:50">
      <c r="A90" s="180"/>
      <c r="B90" s="180"/>
      <c r="C90" s="180"/>
      <c r="D90" s="180"/>
      <c r="E90" s="180"/>
      <c r="F90" s="180"/>
      <c r="G90" s="180"/>
      <c r="H90" s="180"/>
      <c r="I90" s="180"/>
      <c r="J90" s="180"/>
      <c r="K90" s="180"/>
      <c r="L90" s="180"/>
      <c r="M90" s="180"/>
      <c r="N90" s="180"/>
      <c r="O90" s="180"/>
      <c r="P90" s="180"/>
      <c r="Q90" s="180"/>
      <c r="R90" s="180"/>
      <c r="S90" s="123"/>
      <c r="T90" s="123"/>
      <c r="U90" s="123"/>
      <c r="V90" s="123"/>
      <c r="W90" s="123"/>
      <c r="X90" s="123"/>
      <c r="Y90" s="123"/>
      <c r="Z90" s="123"/>
      <c r="AA90" s="123"/>
      <c r="AB90" s="123"/>
      <c r="AC90" s="123"/>
      <c r="AD90" s="123"/>
      <c r="AE90" s="123"/>
      <c r="AF90" s="123"/>
      <c r="AG90" s="123"/>
      <c r="AH90" s="123"/>
      <c r="AI90" s="123"/>
      <c r="AJ90" s="123"/>
      <c r="AK90" s="123"/>
      <c r="AL90" s="123"/>
      <c r="AM90" s="123"/>
      <c r="AN90" s="123"/>
      <c r="AO90" s="123"/>
      <c r="AP90" s="123"/>
      <c r="AQ90" s="123"/>
      <c r="AR90" s="123"/>
      <c r="AS90" s="123"/>
      <c r="AT90" s="123"/>
      <c r="AU90" s="123"/>
      <c r="AV90" s="123"/>
    </row>
    <row r="91" spans="1:50">
      <c r="A91" s="180"/>
      <c r="B91" s="176" t="s">
        <v>532</v>
      </c>
      <c r="C91" s="176" t="s">
        <v>270</v>
      </c>
      <c r="D91" s="176" t="s">
        <v>533</v>
      </c>
      <c r="E91" s="176" t="s">
        <v>506</v>
      </c>
      <c r="F91" s="176" t="s">
        <v>534</v>
      </c>
      <c r="G91" s="176" t="s">
        <v>535</v>
      </c>
      <c r="H91" s="176" t="s">
        <v>536</v>
      </c>
      <c r="I91" s="176" t="s">
        <v>537</v>
      </c>
      <c r="J91" s="176" t="s">
        <v>441</v>
      </c>
      <c r="K91" s="176" t="s">
        <v>464</v>
      </c>
      <c r="L91" s="176" t="s">
        <v>481</v>
      </c>
      <c r="M91" s="176" t="s">
        <v>445</v>
      </c>
      <c r="N91" s="176" t="s">
        <v>539</v>
      </c>
      <c r="O91" s="176" t="s">
        <v>562</v>
      </c>
      <c r="P91" s="180"/>
      <c r="Q91" s="180"/>
      <c r="R91" s="123"/>
      <c r="S91" s="123"/>
      <c r="T91" s="123"/>
      <c r="U91" s="123"/>
      <c r="V91" s="123"/>
      <c r="W91" s="123"/>
      <c r="X91" s="123"/>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row>
    <row r="92" spans="1:50">
      <c r="B92" s="176" t="s">
        <v>543</v>
      </c>
      <c r="C92" s="176">
        <f>C71/(MAX($C71:$O71))</f>
        <v>0.34424268021555604</v>
      </c>
      <c r="D92" s="176">
        <f t="shared" ref="D92:O92" si="1">D71/(MAX($C71:$O71))</f>
        <v>1</v>
      </c>
      <c r="E92" s="176">
        <f t="shared" si="1"/>
        <v>0.50373375323518299</v>
      </c>
      <c r="F92" s="176">
        <f t="shared" si="1"/>
        <v>8.1970203113779352E-2</v>
      </c>
      <c r="G92" s="176">
        <f t="shared" si="1"/>
        <v>8.1925397407879106E-3</v>
      </c>
      <c r="H92" s="176">
        <f t="shared" si="1"/>
        <v>8.6517957829155296E-3</v>
      </c>
      <c r="I92" s="176">
        <f t="shared" si="1"/>
        <v>4.5236375374680622E-2</v>
      </c>
      <c r="J92" s="176">
        <f t="shared" si="1"/>
        <v>4.5956385352215468E-5</v>
      </c>
      <c r="K92" s="176">
        <f t="shared" si="1"/>
        <v>1.8955056971366489E-2</v>
      </c>
      <c r="L92" s="176">
        <f t="shared" si="1"/>
        <v>1.9055124237414075E-3</v>
      </c>
      <c r="M92" s="176">
        <f t="shared" si="1"/>
        <v>9.3887855445795754E-2</v>
      </c>
      <c r="N92" s="176">
        <f t="shared" si="1"/>
        <v>8.0961813090966256E-2</v>
      </c>
      <c r="O92" s="176">
        <f t="shared" si="1"/>
        <v>9.0246111359177858E-3</v>
      </c>
      <c r="P92" s="180"/>
      <c r="Q92" s="180"/>
      <c r="R92" s="123"/>
      <c r="S92" s="123"/>
      <c r="T92" s="123"/>
      <c r="U92" s="123"/>
      <c r="AF92" s="123"/>
      <c r="AG92" s="123"/>
      <c r="AH92" s="123"/>
      <c r="AI92" s="123"/>
      <c r="AJ92" s="123"/>
      <c r="AK92" s="123"/>
      <c r="AL92" s="123"/>
      <c r="AM92" s="123"/>
      <c r="AN92" s="123"/>
      <c r="AO92" s="123"/>
      <c r="AP92" s="123"/>
      <c r="AQ92" s="123"/>
      <c r="AR92" s="123"/>
      <c r="AS92" s="123"/>
      <c r="AT92" s="123"/>
      <c r="AU92" s="123"/>
    </row>
    <row r="93" spans="1:50">
      <c r="B93" s="176" t="s">
        <v>544</v>
      </c>
      <c r="C93" s="176">
        <f t="shared" ref="C93:O108" si="2">C72/(MAX($C72:$O72))</f>
        <v>0.16335440683749519</v>
      </c>
      <c r="D93" s="176">
        <f t="shared" si="2"/>
        <v>1</v>
      </c>
      <c r="E93" s="176">
        <f t="shared" si="2"/>
        <v>0.28833988036072483</v>
      </c>
      <c r="F93" s="176">
        <f t="shared" si="2"/>
        <v>0.14720210062132064</v>
      </c>
      <c r="G93" s="176">
        <f t="shared" si="2"/>
        <v>1.3662088768005443E-2</v>
      </c>
      <c r="H93" s="176">
        <f t="shared" si="2"/>
        <v>1.7383110299898148E-2</v>
      </c>
      <c r="I93" s="176">
        <f t="shared" si="2"/>
        <v>9.4593156759873911E-2</v>
      </c>
      <c r="J93" s="176">
        <f t="shared" si="2"/>
        <v>7.2175223343493838E-5</v>
      </c>
      <c r="K93" s="176">
        <f t="shared" si="2"/>
        <v>3.7531186483803367E-2</v>
      </c>
      <c r="L93" s="176">
        <f t="shared" si="2"/>
        <v>4.3364830805820388E-3</v>
      </c>
      <c r="M93" s="176">
        <f t="shared" si="2"/>
        <v>0.16213533795978322</v>
      </c>
      <c r="N93" s="176">
        <f t="shared" si="2"/>
        <v>0.11381213577572187</v>
      </c>
      <c r="O93" s="176">
        <f t="shared" si="2"/>
        <v>2.8633562116605893E-2</v>
      </c>
      <c r="AF93" s="123"/>
      <c r="AG93" s="123"/>
      <c r="AO93" s="123"/>
      <c r="AP93" s="123"/>
      <c r="AQ93" s="123"/>
      <c r="AR93" s="123"/>
      <c r="AS93" s="123"/>
      <c r="AT93" s="123"/>
      <c r="AU93" s="123"/>
    </row>
    <row r="94" spans="1:50">
      <c r="B94" s="176" t="s">
        <v>545</v>
      </c>
      <c r="C94" s="176">
        <f t="shared" si="2"/>
        <v>0.14074305884037044</v>
      </c>
      <c r="D94" s="176">
        <f t="shared" si="2"/>
        <v>0.25066769069906392</v>
      </c>
      <c r="E94" s="176">
        <f t="shared" si="2"/>
        <v>1</v>
      </c>
      <c r="F94" s="176">
        <f t="shared" si="2"/>
        <v>2.0745851593546499E-2</v>
      </c>
      <c r="G94" s="176">
        <f t="shared" si="2"/>
        <v>5.3940653922027485E-4</v>
      </c>
      <c r="H94" s="176">
        <f t="shared" si="2"/>
        <v>8.0534800712009564E-4</v>
      </c>
      <c r="I94" s="176">
        <f t="shared" si="2"/>
        <v>4.2591650781005491E-3</v>
      </c>
      <c r="J94" s="176">
        <f t="shared" si="2"/>
        <v>7.1333860029695249E-6</v>
      </c>
      <c r="K94" s="176">
        <f t="shared" si="2"/>
        <v>1.6295534414514643E-3</v>
      </c>
      <c r="L94" s="176">
        <f t="shared" si="2"/>
        <v>1.7861351773840585E-4</v>
      </c>
      <c r="M94" s="176">
        <f t="shared" si="2"/>
        <v>6.7027123580959951E-3</v>
      </c>
      <c r="N94" s="176">
        <f t="shared" si="2"/>
        <v>5.8246575321151163E-3</v>
      </c>
      <c r="O94" s="176">
        <f t="shared" si="2"/>
        <v>1.1906373439885814E-3</v>
      </c>
      <c r="AO94" s="123"/>
      <c r="AP94" s="123"/>
      <c r="AQ94" s="123"/>
      <c r="AR94" s="123"/>
      <c r="AS94" s="123"/>
      <c r="AT94" s="123"/>
      <c r="AU94" s="123"/>
    </row>
    <row r="95" spans="1:50">
      <c r="B95" s="176" t="s">
        <v>546</v>
      </c>
      <c r="C95" s="176">
        <f t="shared" si="2"/>
        <v>0.14676010391776764</v>
      </c>
      <c r="D95" s="176">
        <f t="shared" si="2"/>
        <v>0.29827432073824683</v>
      </c>
      <c r="E95" s="176">
        <f t="shared" si="2"/>
        <v>1</v>
      </c>
      <c r="F95" s="176">
        <f t="shared" si="2"/>
        <v>2.3134738479680499E-2</v>
      </c>
      <c r="G95" s="176">
        <f t="shared" si="2"/>
        <v>6.0620030054217902E-4</v>
      </c>
      <c r="H95" s="176">
        <f t="shared" si="2"/>
        <v>8.6387517753407984E-4</v>
      </c>
      <c r="I95" s="176">
        <f t="shared" si="2"/>
        <v>4.7651559423071447E-3</v>
      </c>
      <c r="J95" s="176">
        <f t="shared" si="2"/>
        <v>7.446308474325116E-6</v>
      </c>
      <c r="K95" s="176">
        <f t="shared" si="2"/>
        <v>1.7307407391690581E-3</v>
      </c>
      <c r="L95" s="176">
        <f t="shared" si="2"/>
        <v>2.0483460528485925E-4</v>
      </c>
      <c r="M95" s="176">
        <f t="shared" si="2"/>
        <v>7.5060614439444728E-3</v>
      </c>
      <c r="N95" s="176">
        <f t="shared" si="2"/>
        <v>6.4121862479229403E-3</v>
      </c>
      <c r="O95" s="176">
        <f t="shared" si="2"/>
        <v>1.2734999160898114E-3</v>
      </c>
      <c r="AO95" s="123"/>
      <c r="AP95" s="123"/>
      <c r="AQ95" s="123"/>
      <c r="AR95" s="123"/>
      <c r="AS95" s="123"/>
      <c r="AT95" s="123"/>
      <c r="AU95" s="123"/>
    </row>
    <row r="96" spans="1:50">
      <c r="B96" s="176" t="s">
        <v>547</v>
      </c>
      <c r="C96" s="176">
        <f t="shared" si="2"/>
        <v>0.15394359120609577</v>
      </c>
      <c r="D96" s="176">
        <f t="shared" si="2"/>
        <v>1</v>
      </c>
      <c r="E96" s="176">
        <f t="shared" si="2"/>
        <v>0.24709673018201012</v>
      </c>
      <c r="F96" s="176">
        <f t="shared" si="2"/>
        <v>2.4018777283172248E-2</v>
      </c>
      <c r="G96" s="176">
        <f t="shared" si="2"/>
        <v>1.4474033567964926E-3</v>
      </c>
      <c r="H96" s="176">
        <f t="shared" si="2"/>
        <v>9.8530987762550219E-4</v>
      </c>
      <c r="I96" s="176">
        <f t="shared" si="2"/>
        <v>1.0896603008481456E-2</v>
      </c>
      <c r="J96" s="176">
        <f t="shared" si="2"/>
        <v>1.1001147837258638E-5</v>
      </c>
      <c r="K96" s="176">
        <f t="shared" si="2"/>
        <v>1.5083735586999569E-3</v>
      </c>
      <c r="L96" s="176">
        <f t="shared" si="2"/>
        <v>5.2333468491713958E-4</v>
      </c>
      <c r="M96" s="176">
        <f t="shared" si="2"/>
        <v>1.435299122729273E-2</v>
      </c>
      <c r="N96" s="176">
        <f t="shared" si="2"/>
        <v>9.8750003094363239E-3</v>
      </c>
      <c r="O96" s="176">
        <f t="shared" si="2"/>
        <v>1.3325183251779486E-3</v>
      </c>
      <c r="AO96" s="123"/>
      <c r="AP96" s="123"/>
      <c r="AQ96" s="123"/>
      <c r="AR96" s="123"/>
      <c r="AS96" s="123"/>
      <c r="AT96" s="123"/>
      <c r="AU96" s="123"/>
    </row>
    <row r="97" spans="2:47">
      <c r="B97" s="176" t="s">
        <v>548</v>
      </c>
      <c r="C97" s="176">
        <f t="shared" si="2"/>
        <v>0.105125896977627</v>
      </c>
      <c r="D97" s="176">
        <f t="shared" si="2"/>
        <v>1</v>
      </c>
      <c r="E97" s="176">
        <f t="shared" si="2"/>
        <v>0.16584242344565903</v>
      </c>
      <c r="F97" s="176">
        <f t="shared" si="2"/>
        <v>7.963478124758637E-2</v>
      </c>
      <c r="G97" s="176">
        <f t="shared" si="2"/>
        <v>9.1951358105111722E-3</v>
      </c>
      <c r="H97" s="176">
        <f t="shared" si="2"/>
        <v>2.4882181087750622E-2</v>
      </c>
      <c r="I97" s="176">
        <f t="shared" si="2"/>
        <v>5.1446862880624548E-2</v>
      </c>
      <c r="J97" s="176">
        <f t="shared" si="2"/>
        <v>4.3703373053822701E-5</v>
      </c>
      <c r="K97" s="176">
        <f t="shared" si="2"/>
        <v>4.9771916927999087E-2</v>
      </c>
      <c r="L97" s="176">
        <f t="shared" si="2"/>
        <v>1.8735861932351759E-3</v>
      </c>
      <c r="M97" s="176">
        <f t="shared" si="2"/>
        <v>0.10812558571941382</v>
      </c>
      <c r="N97" s="176">
        <f t="shared" si="2"/>
        <v>7.4322301790242754E-2</v>
      </c>
      <c r="O97" s="176">
        <f t="shared" si="2"/>
        <v>9.5830357280115904E-3</v>
      </c>
      <c r="AO97" s="123"/>
      <c r="AP97" s="123"/>
      <c r="AQ97" s="123"/>
      <c r="AR97" s="123"/>
      <c r="AS97" s="123"/>
      <c r="AT97" s="123"/>
      <c r="AU97" s="123"/>
    </row>
    <row r="98" spans="2:47">
      <c r="B98" s="176" t="s">
        <v>549</v>
      </c>
      <c r="C98" s="176">
        <f t="shared" si="2"/>
        <v>0.20197069077586718</v>
      </c>
      <c r="D98" s="176">
        <f t="shared" si="2"/>
        <v>0.98311268687584941</v>
      </c>
      <c r="E98" s="176">
        <f t="shared" si="2"/>
        <v>1</v>
      </c>
      <c r="F98" s="176">
        <f t="shared" si="2"/>
        <v>8.3773704715193423E-2</v>
      </c>
      <c r="G98" s="176">
        <f t="shared" si="2"/>
        <v>6.4966284389292688E-3</v>
      </c>
      <c r="H98" s="176">
        <f t="shared" si="2"/>
        <v>5.7265260296637715E-3</v>
      </c>
      <c r="I98" s="176">
        <f t="shared" si="2"/>
        <v>7.6573724685761541E-2</v>
      </c>
      <c r="J98" s="176">
        <f t="shared" si="2"/>
        <v>2.2352749445007466E-5</v>
      </c>
      <c r="K98" s="176">
        <f t="shared" si="2"/>
        <v>1.4198388804889481E-2</v>
      </c>
      <c r="L98" s="176">
        <f t="shared" si="2"/>
        <v>4.2220008574669196E-3</v>
      </c>
      <c r="M98" s="176">
        <f t="shared" si="2"/>
        <v>7.2510547775217149E-2</v>
      </c>
      <c r="N98" s="176">
        <f t="shared" si="2"/>
        <v>5.8066930607260335E-2</v>
      </c>
      <c r="O98" s="176">
        <f t="shared" si="2"/>
        <v>1.4954992219661605E-2</v>
      </c>
      <c r="AO98" s="123"/>
      <c r="AP98" s="123"/>
      <c r="AQ98" s="123"/>
      <c r="AR98" s="123"/>
      <c r="AS98" s="123"/>
      <c r="AT98" s="123"/>
      <c r="AU98" s="123"/>
    </row>
    <row r="99" spans="2:47">
      <c r="B99" s="176" t="s">
        <v>550</v>
      </c>
      <c r="C99" s="176">
        <f t="shared" si="2"/>
        <v>0.10606632358113863</v>
      </c>
      <c r="D99" s="176">
        <f t="shared" si="2"/>
        <v>1</v>
      </c>
      <c r="E99" s="176">
        <f t="shared" si="2"/>
        <v>0.1170489720389961</v>
      </c>
      <c r="F99" s="176">
        <f t="shared" si="2"/>
        <v>5.6152942410142077E-2</v>
      </c>
      <c r="G99" s="176">
        <f t="shared" si="2"/>
        <v>7.0273920017727125E-3</v>
      </c>
      <c r="H99" s="176">
        <f t="shared" si="2"/>
        <v>4.2049797189573773E-3</v>
      </c>
      <c r="I99" s="176">
        <f t="shared" si="2"/>
        <v>1.9252875262684745E-2</v>
      </c>
      <c r="J99" s="176">
        <f t="shared" si="2"/>
        <v>6.6809715160361869E-5</v>
      </c>
      <c r="K99" s="176">
        <f t="shared" si="2"/>
        <v>6.8811041830798723E-3</v>
      </c>
      <c r="L99" s="176">
        <f t="shared" si="2"/>
        <v>5.2572338756548206E-4</v>
      </c>
      <c r="M99" s="176">
        <f t="shared" si="2"/>
        <v>3.3943075504926333E-2</v>
      </c>
      <c r="N99" s="176">
        <f t="shared" si="2"/>
        <v>3.8768128567623385E-2</v>
      </c>
      <c r="O99" s="176">
        <f t="shared" si="2"/>
        <v>9.5555246469494256E-3</v>
      </c>
      <c r="AO99" s="123"/>
      <c r="AP99" s="123"/>
      <c r="AQ99" s="123"/>
      <c r="AR99" s="123"/>
      <c r="AS99" s="123"/>
      <c r="AT99" s="123"/>
      <c r="AU99" s="123"/>
    </row>
    <row r="100" spans="2:47">
      <c r="B100" s="176" t="s">
        <v>551</v>
      </c>
      <c r="C100" s="176">
        <f t="shared" si="2"/>
        <v>0.18396733723149192</v>
      </c>
      <c r="D100" s="176">
        <f t="shared" si="2"/>
        <v>0.85684001348814587</v>
      </c>
      <c r="E100" s="176">
        <f t="shared" si="2"/>
        <v>0.93134959201324785</v>
      </c>
      <c r="F100" s="176">
        <f t="shared" si="2"/>
        <v>1</v>
      </c>
      <c r="G100" s="176">
        <f t="shared" si="2"/>
        <v>8.7203280176729337E-3</v>
      </c>
      <c r="H100" s="176">
        <f t="shared" si="2"/>
        <v>4.4013811077363097E-3</v>
      </c>
      <c r="I100" s="176">
        <f t="shared" si="2"/>
        <v>4.2751833679848153E-2</v>
      </c>
      <c r="J100" s="176">
        <f t="shared" si="2"/>
        <v>2.4151427387365776E-5</v>
      </c>
      <c r="K100" s="176">
        <f t="shared" si="2"/>
        <v>1.0371360354417722E-2</v>
      </c>
      <c r="L100" s="176">
        <f t="shared" si="2"/>
        <v>1.8318187123114362E-3</v>
      </c>
      <c r="M100" s="176">
        <f t="shared" si="2"/>
        <v>5.6773313523048999E-2</v>
      </c>
      <c r="N100" s="176">
        <f t="shared" si="2"/>
        <v>5.0462888587334102E-2</v>
      </c>
      <c r="O100" s="176">
        <f t="shared" si="2"/>
        <v>7.4543156756566456E-3</v>
      </c>
      <c r="AO100" s="123"/>
      <c r="AP100" s="123"/>
      <c r="AQ100" s="123"/>
      <c r="AR100" s="123"/>
      <c r="AS100" s="123"/>
      <c r="AT100" s="123"/>
      <c r="AU100" s="123"/>
    </row>
    <row r="101" spans="2:47">
      <c r="B101" s="176" t="s">
        <v>552</v>
      </c>
      <c r="C101" s="176">
        <f t="shared" si="2"/>
        <v>0.2187526402376522</v>
      </c>
      <c r="D101" s="176">
        <f t="shared" si="2"/>
        <v>0.52879280109971238</v>
      </c>
      <c r="E101" s="176">
        <f t="shared" si="2"/>
        <v>1</v>
      </c>
      <c r="F101" s="176">
        <f t="shared" si="2"/>
        <v>2.6342253468808561E-2</v>
      </c>
      <c r="G101" s="176">
        <f t="shared" si="2"/>
        <v>1.3008992874262021E-3</v>
      </c>
      <c r="H101" s="176">
        <f t="shared" si="2"/>
        <v>1.8351101048645036E-3</v>
      </c>
      <c r="I101" s="176">
        <f t="shared" si="2"/>
        <v>-0.11733723634733283</v>
      </c>
      <c r="J101" s="176">
        <f t="shared" si="2"/>
        <v>1.3723458303576508E-5</v>
      </c>
      <c r="K101" s="176">
        <f t="shared" si="2"/>
        <v>3.8420011783437688E-3</v>
      </c>
      <c r="L101" s="176">
        <f t="shared" si="2"/>
        <v>-7.9415214436003665E-3</v>
      </c>
      <c r="M101" s="176">
        <f t="shared" si="2"/>
        <v>1.9030605177485598E-2</v>
      </c>
      <c r="N101" s="176">
        <f t="shared" si="2"/>
        <v>1.6311027685891301E-2</v>
      </c>
      <c r="O101" s="176">
        <f t="shared" si="2"/>
        <v>2.7868494148256123E-3</v>
      </c>
      <c r="AO101" s="123"/>
      <c r="AP101" s="123"/>
      <c r="AQ101" s="123"/>
      <c r="AR101" s="123"/>
      <c r="AS101" s="123"/>
      <c r="AT101" s="123"/>
      <c r="AU101" s="123"/>
    </row>
    <row r="102" spans="2:47">
      <c r="B102" s="176" t="s">
        <v>553</v>
      </c>
      <c r="C102" s="176">
        <f t="shared" si="2"/>
        <v>6.2143755640146299E-2</v>
      </c>
      <c r="D102" s="176">
        <f t="shared" si="2"/>
        <v>1</v>
      </c>
      <c r="E102" s="176">
        <f t="shared" si="2"/>
        <v>6.7443526371127466E-2</v>
      </c>
      <c r="F102" s="176">
        <f t="shared" si="2"/>
        <v>2.9681541915860764E-2</v>
      </c>
      <c r="G102" s="176">
        <f t="shared" si="2"/>
        <v>6.5132937140666763E-3</v>
      </c>
      <c r="H102" s="176">
        <f t="shared" si="2"/>
        <v>8.5919163311371973E-3</v>
      </c>
      <c r="I102" s="176">
        <f t="shared" si="2"/>
        <v>1.8871080558814497E-2</v>
      </c>
      <c r="J102" s="176">
        <f t="shared" si="2"/>
        <v>1.0700191116889779E-5</v>
      </c>
      <c r="K102" s="176">
        <f t="shared" si="2"/>
        <v>2.0045374186665223E-2</v>
      </c>
      <c r="L102" s="176">
        <f t="shared" si="2"/>
        <v>3.9774359129740935E-4</v>
      </c>
      <c r="M102" s="176">
        <f t="shared" si="2"/>
        <v>7.7528892186329273E-2</v>
      </c>
      <c r="N102" s="176">
        <f t="shared" si="2"/>
        <v>7.6216725356693563E-2</v>
      </c>
      <c r="O102" s="176">
        <f t="shared" si="2"/>
        <v>1.2358963731446185E-2</v>
      </c>
      <c r="AO102" s="123"/>
      <c r="AP102" s="123"/>
      <c r="AQ102" s="123"/>
      <c r="AR102" s="123"/>
      <c r="AS102" s="123"/>
      <c r="AT102" s="123"/>
      <c r="AU102" s="123"/>
    </row>
    <row r="103" spans="2:47">
      <c r="B103" s="176" t="s">
        <v>554</v>
      </c>
      <c r="C103" s="176">
        <f t="shared" si="2"/>
        <v>4.124644387503912E-3</v>
      </c>
      <c r="D103" s="176">
        <f t="shared" si="2"/>
        <v>2.4872935229703675E-2</v>
      </c>
      <c r="E103" s="176">
        <f t="shared" si="2"/>
        <v>5.8081261870036342E-3</v>
      </c>
      <c r="F103" s="176">
        <f t="shared" si="2"/>
        <v>2.3499439624819428E-3</v>
      </c>
      <c r="G103" s="176">
        <f t="shared" si="2"/>
        <v>0.15059261004263633</v>
      </c>
      <c r="H103" s="176">
        <f t="shared" si="2"/>
        <v>2.9342633063580758E-4</v>
      </c>
      <c r="I103" s="176">
        <f t="shared" si="2"/>
        <v>1</v>
      </c>
      <c r="J103" s="176">
        <f t="shared" si="2"/>
        <v>2.4792195152225071E-4</v>
      </c>
      <c r="K103" s="176">
        <f t="shared" si="2"/>
        <v>1.3258459851593664E-3</v>
      </c>
      <c r="L103" s="176">
        <f t="shared" si="2"/>
        <v>5.2572941768653035E-2</v>
      </c>
      <c r="M103" s="176">
        <f t="shared" si="2"/>
        <v>5.550800144638322E-3</v>
      </c>
      <c r="N103" s="176">
        <f t="shared" si="2"/>
        <v>0.24816335295425854</v>
      </c>
      <c r="O103" s="176">
        <f t="shared" si="2"/>
        <v>9.7639096499084806E-3</v>
      </c>
      <c r="AO103" s="123"/>
      <c r="AP103" s="123"/>
      <c r="AQ103" s="123"/>
      <c r="AR103" s="123"/>
      <c r="AS103" s="123"/>
      <c r="AT103" s="123"/>
      <c r="AU103" s="123"/>
    </row>
    <row r="104" spans="2:47">
      <c r="B104" s="176" t="s">
        <v>555</v>
      </c>
      <c r="C104" s="176">
        <f t="shared" si="2"/>
        <v>1</v>
      </c>
      <c r="D104" s="176">
        <f t="shared" si="2"/>
        <v>0.62863477879597829</v>
      </c>
      <c r="E104" s="176">
        <f t="shared" si="2"/>
        <v>0.3616660598931225</v>
      </c>
      <c r="F104" s="176">
        <f t="shared" si="2"/>
        <v>0.30539446119892633</v>
      </c>
      <c r="G104" s="176">
        <f t="shared" si="2"/>
        <v>2.7885110417334574E-3</v>
      </c>
      <c r="H104" s="176">
        <f t="shared" si="2"/>
        <v>1.8986547921998802E-3</v>
      </c>
      <c r="I104" s="176">
        <f t="shared" si="2"/>
        <v>2.6319980743542824E-2</v>
      </c>
      <c r="J104" s="176">
        <f t="shared" si="2"/>
        <v>2.267170705329611E-5</v>
      </c>
      <c r="K104" s="176">
        <f t="shared" si="2"/>
        <v>4.1185578064958529E-3</v>
      </c>
      <c r="L104" s="176">
        <f t="shared" si="2"/>
        <v>1.1491636465562542E-3</v>
      </c>
      <c r="M104" s="176">
        <f t="shared" si="2"/>
        <v>1.5974469408551299E-2</v>
      </c>
      <c r="N104" s="176">
        <f t="shared" si="2"/>
        <v>2.9765626858053409E-2</v>
      </c>
      <c r="O104" s="176">
        <f t="shared" si="2"/>
        <v>2.7118203755165959E-3</v>
      </c>
      <c r="AO104" s="123"/>
      <c r="AP104" s="123"/>
      <c r="AQ104" s="123"/>
      <c r="AR104" s="123"/>
      <c r="AS104" s="123"/>
      <c r="AT104" s="123"/>
      <c r="AU104" s="123"/>
    </row>
    <row r="105" spans="2:47">
      <c r="B105" s="176" t="s">
        <v>556</v>
      </c>
      <c r="C105" s="176">
        <f t="shared" si="2"/>
        <v>6.2040094209384423E-2</v>
      </c>
      <c r="D105" s="176">
        <f t="shared" si="2"/>
        <v>0.69109881089985881</v>
      </c>
      <c r="E105" s="176">
        <f t="shared" si="2"/>
        <v>0.14534685488178359</v>
      </c>
      <c r="F105" s="176">
        <f t="shared" si="2"/>
        <v>3.4649837135310023E-2</v>
      </c>
      <c r="G105" s="176">
        <f t="shared" si="2"/>
        <v>6.8360421123599439E-3</v>
      </c>
      <c r="H105" s="176">
        <f t="shared" si="2"/>
        <v>3.4375467821780442E-3</v>
      </c>
      <c r="I105" s="176">
        <f t="shared" si="2"/>
        <v>1</v>
      </c>
      <c r="J105" s="176">
        <f t="shared" si="2"/>
        <v>3.6700130276377514E-4</v>
      </c>
      <c r="K105" s="176">
        <f t="shared" si="2"/>
        <v>8.8116080134727319E-3</v>
      </c>
      <c r="L105" s="176">
        <f t="shared" si="2"/>
        <v>6.5011174213824033E-2</v>
      </c>
      <c r="M105" s="176">
        <f t="shared" si="2"/>
        <v>5.0571154737010564E-2</v>
      </c>
      <c r="N105" s="176">
        <f t="shared" si="2"/>
        <v>5.2981773700248327E-2</v>
      </c>
      <c r="O105" s="176">
        <f t="shared" si="2"/>
        <v>5.091298336688499E-2</v>
      </c>
      <c r="AO105" s="123"/>
      <c r="AP105" s="123"/>
      <c r="AQ105" s="123"/>
      <c r="AR105" s="123"/>
      <c r="AS105" s="123"/>
      <c r="AT105" s="123"/>
      <c r="AU105" s="123"/>
    </row>
    <row r="106" spans="2:47">
      <c r="B106" s="176" t="s">
        <v>557</v>
      </c>
      <c r="C106" s="176">
        <f t="shared" si="2"/>
        <v>0.20790403772134328</v>
      </c>
      <c r="D106" s="176">
        <f t="shared" si="2"/>
        <v>1</v>
      </c>
      <c r="E106" s="176">
        <f t="shared" si="2"/>
        <v>0.34895641568448516</v>
      </c>
      <c r="F106" s="176">
        <f t="shared" si="2"/>
        <v>9.7926934185781689E-2</v>
      </c>
      <c r="G106" s="176">
        <f t="shared" si="2"/>
        <v>7.9677179748751381E-3</v>
      </c>
      <c r="H106" s="176">
        <f t="shared" si="2"/>
        <v>7.4731441833320892E-3</v>
      </c>
      <c r="I106" s="176">
        <f t="shared" si="2"/>
        <v>4.5077728266259387E-2</v>
      </c>
      <c r="J106" s="176">
        <f t="shared" si="2"/>
        <v>3.1306592072670061E-5</v>
      </c>
      <c r="K106" s="176">
        <f t="shared" si="2"/>
        <v>1.7308627460341314E-2</v>
      </c>
      <c r="L106" s="176">
        <f t="shared" si="2"/>
        <v>1.9438520718757057E-3</v>
      </c>
      <c r="M106" s="176">
        <f t="shared" si="2"/>
        <v>0.11150691099751238</v>
      </c>
      <c r="N106" s="176">
        <f t="shared" si="2"/>
        <v>9.4739547466950472E-2</v>
      </c>
      <c r="O106" s="176">
        <f t="shared" si="2"/>
        <v>1.1081139030093237E-2</v>
      </c>
      <c r="AO106" s="123"/>
      <c r="AP106" s="123"/>
      <c r="AQ106" s="123"/>
      <c r="AR106" s="123"/>
      <c r="AS106" s="123"/>
      <c r="AT106" s="123"/>
      <c r="AU106" s="123"/>
    </row>
    <row r="107" spans="2:47">
      <c r="B107" s="176" t="s">
        <v>558</v>
      </c>
      <c r="C107" s="176">
        <f t="shared" si="2"/>
        <v>0.13111268681589386</v>
      </c>
      <c r="D107" s="176">
        <f t="shared" si="2"/>
        <v>1</v>
      </c>
      <c r="E107" s="176">
        <f t="shared" si="2"/>
        <v>0.34564784250502689</v>
      </c>
      <c r="F107" s="176">
        <f t="shared" si="2"/>
        <v>0.11940311541592774</v>
      </c>
      <c r="G107" s="176">
        <f t="shared" si="2"/>
        <v>1.7514840291090593E-2</v>
      </c>
      <c r="H107" s="176">
        <f t="shared" si="2"/>
        <v>1.0411363706416054E-2</v>
      </c>
      <c r="I107" s="176">
        <f t="shared" si="2"/>
        <v>0.10054652123416107</v>
      </c>
      <c r="J107" s="176">
        <f t="shared" si="2"/>
        <v>4.1934917949821389E-5</v>
      </c>
      <c r="K107" s="176">
        <f t="shared" si="2"/>
        <v>1.9872796794687952E-2</v>
      </c>
      <c r="L107" s="176">
        <f t="shared" si="2"/>
        <v>4.7045639141465442E-3</v>
      </c>
      <c r="M107" s="176">
        <f t="shared" si="2"/>
        <v>0.11361355114235422</v>
      </c>
      <c r="N107" s="176">
        <f t="shared" si="2"/>
        <v>0.13268522782977807</v>
      </c>
      <c r="O107" s="176">
        <f t="shared" si="2"/>
        <v>1.2322210140822257E-2</v>
      </c>
      <c r="AO107" s="123"/>
      <c r="AP107" s="123"/>
      <c r="AQ107" s="123"/>
      <c r="AR107" s="123"/>
      <c r="AS107" s="123"/>
      <c r="AT107" s="123"/>
      <c r="AU107" s="123"/>
    </row>
    <row r="108" spans="2:47">
      <c r="B108" s="176" t="s">
        <v>559</v>
      </c>
      <c r="C108" s="176">
        <f t="shared" si="2"/>
        <v>0.12870918013472171</v>
      </c>
      <c r="D108" s="176">
        <f t="shared" si="2"/>
        <v>1</v>
      </c>
      <c r="E108" s="176">
        <f t="shared" si="2"/>
        <v>0.33235076357265436</v>
      </c>
      <c r="F108" s="176">
        <f t="shared" si="2"/>
        <v>0.11831934424612107</v>
      </c>
      <c r="G108" s="176">
        <f t="shared" si="2"/>
        <v>1.7400190892650293E-2</v>
      </c>
      <c r="H108" s="176">
        <f t="shared" si="2"/>
        <v>1.0665647202812677E-2</v>
      </c>
      <c r="I108" s="176">
        <f t="shared" si="2"/>
        <v>9.8164480328537473E-2</v>
      </c>
      <c r="J108" s="176">
        <f t="shared" si="2"/>
        <v>4.2805353149673642E-5</v>
      </c>
      <c r="K108" s="176">
        <f t="shared" si="2"/>
        <v>1.9778037183214529E-2</v>
      </c>
      <c r="L108" s="176">
        <f t="shared" si="2"/>
        <v>4.5563703525390341E-3</v>
      </c>
      <c r="M108" s="176">
        <f t="shared" si="2"/>
        <v>0.10992022825241782</v>
      </c>
      <c r="N108" s="176">
        <f t="shared" si="2"/>
        <v>0.14144358572549251</v>
      </c>
      <c r="O108" s="176">
        <f t="shared" si="2"/>
        <v>1.318438160375679E-2</v>
      </c>
      <c r="AO108" s="123"/>
      <c r="AP108" s="123"/>
      <c r="AQ108" s="123"/>
      <c r="AR108" s="123"/>
      <c r="AS108" s="123"/>
      <c r="AT108" s="123"/>
      <c r="AU108" s="123"/>
    </row>
    <row r="109" spans="2:47">
      <c r="B109" s="176" t="s">
        <v>560</v>
      </c>
      <c r="C109" s="176">
        <f t="shared" ref="C109:O109" si="3">C88/(MAX($C88:$O88))</f>
        <v>2.0649991905780964E-2</v>
      </c>
      <c r="D109" s="176">
        <f t="shared" si="3"/>
        <v>1</v>
      </c>
      <c r="E109" s="176">
        <f t="shared" si="3"/>
        <v>5.7643176274684245E-2</v>
      </c>
      <c r="F109" s="176">
        <f t="shared" si="3"/>
        <v>1.8373424723788088E-2</v>
      </c>
      <c r="G109" s="176">
        <f t="shared" si="3"/>
        <v>1.4584845924885577E-3</v>
      </c>
      <c r="H109" s="176">
        <f t="shared" si="3"/>
        <v>3.8177449969725506E-3</v>
      </c>
      <c r="I109" s="176">
        <f t="shared" si="3"/>
        <v>2.1526757277641827E-2</v>
      </c>
      <c r="J109" s="176">
        <f t="shared" si="3"/>
        <v>1.7781095202153003E-5</v>
      </c>
      <c r="K109" s="176">
        <f t="shared" si="3"/>
        <v>4.5383075230285303E-3</v>
      </c>
      <c r="L109" s="176">
        <f t="shared" si="3"/>
        <v>1.1702734208225527E-3</v>
      </c>
      <c r="M109" s="176">
        <f t="shared" si="3"/>
        <v>4.0892884612646965E-2</v>
      </c>
      <c r="N109" s="176">
        <f t="shared" si="3"/>
        <v>1.383925919067072E-2</v>
      </c>
      <c r="O109" s="176">
        <f t="shared" si="3"/>
        <v>4.1934119694345589E-3</v>
      </c>
      <c r="AO109" s="123"/>
      <c r="AP109" s="123"/>
      <c r="AQ109" s="123"/>
      <c r="AR109" s="123"/>
      <c r="AS109" s="123"/>
      <c r="AT109" s="123"/>
      <c r="AU109" s="123"/>
    </row>
    <row r="110" spans="2:47">
      <c r="AO110" s="123"/>
      <c r="AP110" s="123"/>
      <c r="AQ110" s="123"/>
      <c r="AR110" s="123"/>
      <c r="AS110" s="123"/>
      <c r="AT110" s="123"/>
      <c r="AU110" s="123"/>
    </row>
    <row r="111" spans="2:47">
      <c r="B111" s="176" t="s">
        <v>532</v>
      </c>
      <c r="C111" s="176" t="s">
        <v>270</v>
      </c>
      <c r="D111" s="176" t="s">
        <v>533</v>
      </c>
      <c r="E111" s="176" t="s">
        <v>506</v>
      </c>
      <c r="F111" s="176" t="s">
        <v>534</v>
      </c>
      <c r="G111" s="176" t="s">
        <v>535</v>
      </c>
      <c r="H111" s="176" t="s">
        <v>536</v>
      </c>
      <c r="I111" s="176" t="s">
        <v>537</v>
      </c>
      <c r="J111" s="176" t="s">
        <v>441</v>
      </c>
      <c r="K111" s="176" t="s">
        <v>464</v>
      </c>
      <c r="L111" s="176" t="s">
        <v>481</v>
      </c>
      <c r="M111" s="176" t="s">
        <v>445</v>
      </c>
      <c r="N111" s="176" t="s">
        <v>539</v>
      </c>
      <c r="O111" s="176" t="s">
        <v>562</v>
      </c>
      <c r="AO111" s="123"/>
      <c r="AP111" s="123"/>
      <c r="AQ111" s="123"/>
      <c r="AR111" s="123"/>
      <c r="AS111" s="123"/>
      <c r="AT111" s="123"/>
      <c r="AU111" s="123"/>
    </row>
    <row r="112" spans="2:47">
      <c r="B112" s="176" t="s">
        <v>563</v>
      </c>
      <c r="C112" s="176">
        <v>0.10890293789166346</v>
      </c>
      <c r="D112" s="176">
        <v>1</v>
      </c>
      <c r="E112" s="176">
        <v>0.28833988036072483</v>
      </c>
      <c r="F112" s="176">
        <v>0.22288658367112166</v>
      </c>
      <c r="G112" s="176">
        <v>1.1532932076887712E-2</v>
      </c>
      <c r="H112" s="176">
        <v>1.988896161441241E-2</v>
      </c>
      <c r="I112" s="176">
        <v>0.12297131060503368</v>
      </c>
      <c r="J112" s="176">
        <v>2.9595758065537505E-5</v>
      </c>
      <c r="K112" s="176">
        <v>3.7531186483803367E-2</v>
      </c>
      <c r="L112" s="176">
        <v>5.9126025715588587E-2</v>
      </c>
      <c r="M112" s="176">
        <v>0.14906762837611501</v>
      </c>
      <c r="N112" s="176">
        <v>0.10346557797792898</v>
      </c>
      <c r="O112" s="176">
        <v>2.8633562116605893E-2</v>
      </c>
      <c r="AO112" s="123"/>
      <c r="AP112" s="123"/>
      <c r="AQ112" s="123"/>
      <c r="AR112" s="123"/>
      <c r="AS112" s="123"/>
      <c r="AT112" s="123"/>
      <c r="AU112" s="123"/>
    </row>
    <row r="113" spans="2:47">
      <c r="B113" s="176" t="s">
        <v>564</v>
      </c>
      <c r="C113" s="176">
        <v>9.3828705893580305E-2</v>
      </c>
      <c r="D113" s="176">
        <v>0.25066769069906392</v>
      </c>
      <c r="E113" s="176">
        <v>1</v>
      </c>
      <c r="F113" s="176">
        <v>1.7948580113065878E-2</v>
      </c>
      <c r="G113" s="176">
        <v>4.5534318245867364E-4</v>
      </c>
      <c r="H113" s="176">
        <v>9.2144244174467227E-4</v>
      </c>
      <c r="I113" s="176">
        <v>5.4888543637555609E-3</v>
      </c>
      <c r="J113" s="176">
        <v>2.9250753451393187E-6</v>
      </c>
      <c r="K113" s="176">
        <v>1.6295534414514643E-3</v>
      </c>
      <c r="L113" s="176">
        <v>3.8075843052001244E-3</v>
      </c>
      <c r="M113" s="176">
        <v>6.1871190997809192E-3</v>
      </c>
      <c r="N113" s="176">
        <v>5.2951432110137425E-3</v>
      </c>
      <c r="O113" s="176">
        <v>1.1906373439885814E-3</v>
      </c>
      <c r="AO113" s="123"/>
      <c r="AP113" s="123"/>
      <c r="AQ113" s="123"/>
      <c r="AR113" s="123"/>
      <c r="AS113" s="123"/>
      <c r="AT113" s="123"/>
      <c r="AU113" s="123"/>
    </row>
    <row r="114" spans="2:47">
      <c r="B114" s="176" t="s">
        <v>565</v>
      </c>
      <c r="C114" s="176">
        <v>0.10262906080406385</v>
      </c>
      <c r="D114" s="176">
        <v>1</v>
      </c>
      <c r="E114" s="176">
        <v>0.24709673018201012</v>
      </c>
      <c r="F114" s="176">
        <v>2.3398357680304176E-2</v>
      </c>
      <c r="G114" s="176">
        <v>1.2218340024905459E-3</v>
      </c>
      <c r="H114" s="176">
        <v>1.1273466023229357E-3</v>
      </c>
      <c r="I114" s="176">
        <v>1.4241760162253913E-2</v>
      </c>
      <c r="J114" s="176">
        <v>4.5110675762677446E-6</v>
      </c>
      <c r="K114" s="176">
        <v>1.5083735586999569E-3</v>
      </c>
      <c r="L114" s="176">
        <v>3.4609276839347226E-3</v>
      </c>
      <c r="M114" s="176">
        <v>1.3248914979039442E-2</v>
      </c>
      <c r="N114" s="176">
        <v>8.9772730085784756E-3</v>
      </c>
      <c r="O114" s="176">
        <v>1.3325183251779486E-3</v>
      </c>
    </row>
    <row r="115" spans="2:47">
      <c r="B115" s="176" t="s">
        <v>566</v>
      </c>
      <c r="C115" s="176">
        <v>0.13168512934283513</v>
      </c>
      <c r="D115" s="176">
        <v>0.91999827007596724</v>
      </c>
      <c r="E115" s="176">
        <v>1</v>
      </c>
      <c r="F115" s="176">
        <v>0.8144442049490942</v>
      </c>
      <c r="G115" s="176">
        <v>7.9039234270366701E-3</v>
      </c>
      <c r="H115" s="176">
        <v>5.4070560311473082E-3</v>
      </c>
      <c r="I115" s="176">
        <v>5.9292334124122693E-2</v>
      </c>
      <c r="J115" s="176">
        <v>1.0633381771538012E-5</v>
      </c>
      <c r="K115" s="176">
        <v>1.1135840336815434E-2</v>
      </c>
      <c r="L115" s="176">
        <v>0.15476193441703337</v>
      </c>
      <c r="M115" s="176">
        <v>5.6269027236543957E-2</v>
      </c>
      <c r="N115" s="176">
        <v>4.9256856560216625E-2</v>
      </c>
      <c r="O115" s="176">
        <v>8.0037783229636207E-3</v>
      </c>
    </row>
    <row r="116" spans="2:47">
      <c r="B116" s="176" t="s">
        <v>514</v>
      </c>
      <c r="C116" s="176">
        <v>2.0801695622562804E-3</v>
      </c>
      <c r="D116" s="176">
        <v>1.881613950000887E-2</v>
      </c>
      <c r="E116" s="176">
        <v>4.3937923513668467E-3</v>
      </c>
      <c r="F116" s="176">
        <v>1.8231893896639624E-3</v>
      </c>
      <c r="G116" s="176">
        <v>9.6167821313640656E-2</v>
      </c>
      <c r="H116" s="176">
        <v>2.5397279102866438E-4</v>
      </c>
      <c r="I116" s="176">
        <v>1</v>
      </c>
      <c r="J116" s="176">
        <v>7.6905924819477547E-5</v>
      </c>
      <c r="K116" s="176">
        <v>1.0029899077810826E-3</v>
      </c>
      <c r="L116" s="176">
        <v>3.0733640780928999E-4</v>
      </c>
      <c r="M116" s="176">
        <v>3.8761178232903436E-3</v>
      </c>
      <c r="N116" s="176">
        <v>0.17066656533421334</v>
      </c>
      <c r="O116" s="176">
        <v>7.3863050074910478E-3</v>
      </c>
    </row>
    <row r="117" spans="2:47">
      <c r="B117" s="176" t="s">
        <v>515</v>
      </c>
      <c r="C117" s="176">
        <v>1.3766661270520644E-2</v>
      </c>
      <c r="D117" s="176">
        <v>1</v>
      </c>
      <c r="E117" s="176">
        <v>5.7643176274684245E-2</v>
      </c>
      <c r="F117" s="176">
        <v>1.5876210204851915E-2</v>
      </c>
      <c r="G117" s="176">
        <v>1.2311882923604707E-3</v>
      </c>
      <c r="H117" s="176">
        <v>4.3680896219617836E-3</v>
      </c>
      <c r="I117" s="176">
        <v>2.8523872513398257E-2</v>
      </c>
      <c r="J117" s="176">
        <v>7.2912139009078353E-6</v>
      </c>
      <c r="K117" s="176">
        <v>4.5383075230285303E-3</v>
      </c>
      <c r="L117" s="176">
        <v>1.1334460001764225E-2</v>
      </c>
      <c r="M117" s="176">
        <v>3.7747278103981811E-2</v>
      </c>
      <c r="N117" s="176">
        <v>1.2581144718791563E-2</v>
      </c>
      <c r="O117" s="176">
        <v>4.1934119694345589E-3</v>
      </c>
    </row>
  </sheetData>
  <dataConsolidate link="1"/>
  <mergeCells count="41">
    <mergeCell ref="B55:G55"/>
    <mergeCell ref="X61:X62"/>
    <mergeCell ref="X63:X64"/>
    <mergeCell ref="P5:Q5"/>
    <mergeCell ref="S5:T5"/>
    <mergeCell ref="M49:N49"/>
    <mergeCell ref="M50:N50"/>
    <mergeCell ref="B51:G51"/>
    <mergeCell ref="M51:N51"/>
    <mergeCell ref="M52:N52"/>
    <mergeCell ref="W37:X37"/>
    <mergeCell ref="I34:N34"/>
    <mergeCell ref="P34:U34"/>
    <mergeCell ref="B5:G5"/>
    <mergeCell ref="B11:G11"/>
    <mergeCell ref="L14:N15"/>
    <mergeCell ref="M48:N48"/>
    <mergeCell ref="M42:N42"/>
    <mergeCell ref="M43:N43"/>
    <mergeCell ref="M44:N44"/>
    <mergeCell ref="M45:N45"/>
    <mergeCell ref="M46:N46"/>
    <mergeCell ref="M47:N47"/>
    <mergeCell ref="S19:T19"/>
    <mergeCell ref="S26:T26"/>
    <mergeCell ref="I29:N29"/>
    <mergeCell ref="P14:R15"/>
    <mergeCell ref="S14:T15"/>
    <mergeCell ref="I2:U2"/>
    <mergeCell ref="S4:T4"/>
    <mergeCell ref="P4:Q4"/>
    <mergeCell ref="I4:M5"/>
    <mergeCell ref="I17:N17"/>
    <mergeCell ref="P17:U17"/>
    <mergeCell ref="U14:U15"/>
    <mergeCell ref="Y37:Z37"/>
    <mergeCell ref="AA37:AB37"/>
    <mergeCell ref="AC37:AD37"/>
    <mergeCell ref="B41:G41"/>
    <mergeCell ref="I41:N41"/>
    <mergeCell ref="W41:AD41"/>
  </mergeCells>
  <dataValidations disablePrompts="1" count="3">
    <dataValidation type="list" allowBlank="1" showInputMessage="1" showErrorMessage="1" sqref="P52 M52:N52 R52" xr:uid="{FE3572D1-F8D0-4DAA-B82B-8E705DA54EE1}">
      <formula1>"Air, Sea, Road (EU), Road (Africa), Rail (EU), Rail (Africa), None"</formula1>
    </dataValidation>
    <dataValidation type="list" allowBlank="1" showInputMessage="1" showErrorMessage="1" sqref="E43:E48 E52" xr:uid="{C6746148-C200-4875-8F34-F3826ABE5477}">
      <formula1>"Yes, No"</formula1>
    </dataValidation>
    <dataValidation type="list" allowBlank="1" showInputMessage="1" showErrorMessage="1" sqref="L22" xr:uid="{F0CE631A-8B00-43ED-AB02-36331DA778D1}">
      <formula1>"600a, 134a"</formula1>
    </dataValidation>
  </dataValidations>
  <pageMargins left="0.7" right="0.7" top="0.75" bottom="0.75" header="0.3" footer="0.3"/>
  <pageSetup paperSize="9" orientation="portrait" horizontalDpi="360" verticalDpi="360" r:id="rId1"/>
  <drawing r:id="rId2"/>
  <legacyDrawing r:id="rId3"/>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72FA8C32-91F6-4F2D-B451-5D1E7FE5554B}">
          <x14:formula1>
            <xm:f>Ecoboards!$A$2:$A$3</xm:f>
          </x14:formula1>
          <xm:sqref>E13:E16</xm:sqref>
        </x14:dataValidation>
        <x14:dataValidation type="list" allowBlank="1" showInputMessage="1" showErrorMessage="1" xr:uid="{24285EDB-F13B-4D96-987E-D19BCB7C72CF}">
          <x14:formula1>
            <xm:f>Vapour!$B$1:$C$1</xm:f>
          </x14:formula1>
          <xm:sqref>E31</xm:sqref>
        </x14:dataValidation>
        <x14:dataValidation type="list" allowBlank="1" showInputMessage="1" showErrorMessage="1" xr:uid="{18F7D5AA-9B33-4721-B106-248CAE44ECA8}">
          <x14:formula1>
            <xm:f>Timber!$B$1:$C$1</xm:f>
          </x14:formula1>
          <xm:sqref>E29</xm:sqref>
        </x14:dataValidation>
        <x14:dataValidation type="list" allowBlank="1" showInputMessage="1" showErrorMessage="1" xr:uid="{8FBB47FD-37A6-47CD-A72F-9FCDEF9467D2}">
          <x14:formula1>
            <xm:f>Foundations!$B$1:$C$1</xm:f>
          </x14:formula1>
          <xm:sqref>E19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05C6E-7103-4490-A97E-E49C6625E466}">
  <sheetPr codeName="Sheet12"/>
  <dimension ref="B1:Q21"/>
  <sheetViews>
    <sheetView workbookViewId="0">
      <selection activeCell="J29" sqref="J29"/>
    </sheetView>
  </sheetViews>
  <sheetFormatPr baseColWidth="10" defaultColWidth="8.85546875" defaultRowHeight="15"/>
  <cols>
    <col min="1" max="16384" width="8.85546875" style="124"/>
  </cols>
  <sheetData>
    <row r="1" spans="2:17">
      <c r="C1" s="124" t="s">
        <v>567</v>
      </c>
    </row>
    <row r="2" spans="2:17">
      <c r="B2" s="124" t="s">
        <v>568</v>
      </c>
      <c r="C2" s="124">
        <v>8.4000000000000003E-4</v>
      </c>
      <c r="D2" s="124">
        <f>C2*1000</f>
        <v>0.84000000000000008</v>
      </c>
    </row>
    <row r="3" spans="2:17">
      <c r="B3" s="124" t="s">
        <v>502</v>
      </c>
      <c r="C3" s="181">
        <v>1.03364E-5</v>
      </c>
      <c r="D3" s="124">
        <f t="shared" ref="D3:D8" si="0">C3*1000</f>
        <v>1.0336399999999999E-2</v>
      </c>
    </row>
    <row r="4" spans="2:17">
      <c r="B4" s="124" t="s">
        <v>501</v>
      </c>
      <c r="C4" s="124">
        <v>1.9000000000000001E-4</v>
      </c>
      <c r="D4" s="124">
        <f t="shared" si="0"/>
        <v>0.19</v>
      </c>
      <c r="Q4" s="181"/>
    </row>
    <row r="5" spans="2:17">
      <c r="B5" s="124" t="s">
        <v>491</v>
      </c>
      <c r="C5" s="124">
        <v>2.0000000000000001E-4</v>
      </c>
      <c r="D5" s="124">
        <f t="shared" si="0"/>
        <v>0.2</v>
      </c>
      <c r="Q5" s="181"/>
    </row>
    <row r="6" spans="2:17">
      <c r="B6" s="124" t="s">
        <v>569</v>
      </c>
      <c r="C6" s="181">
        <v>4.8346900000000003E-5</v>
      </c>
      <c r="D6" s="124">
        <f t="shared" si="0"/>
        <v>4.8346900000000005E-2</v>
      </c>
      <c r="Q6" s="181"/>
    </row>
    <row r="7" spans="2:17">
      <c r="B7" s="124" t="s">
        <v>570</v>
      </c>
      <c r="C7" s="181">
        <v>3.4297400000000001E-5</v>
      </c>
      <c r="D7" s="124">
        <f t="shared" si="0"/>
        <v>3.4297399999999999E-2</v>
      </c>
      <c r="E7" s="124" t="s">
        <v>571</v>
      </c>
      <c r="Q7" s="181"/>
    </row>
    <row r="8" spans="2:17">
      <c r="B8" s="124" t="s">
        <v>492</v>
      </c>
      <c r="C8" s="124">
        <v>0</v>
      </c>
      <c r="D8" s="124">
        <f t="shared" si="0"/>
        <v>0</v>
      </c>
    </row>
    <row r="9" spans="2:17">
      <c r="Q9" s="181"/>
    </row>
    <row r="10" spans="2:17">
      <c r="Q10" s="181"/>
    </row>
    <row r="11" spans="2:17">
      <c r="B11" s="123" t="s">
        <v>572</v>
      </c>
      <c r="C11" s="123" t="s">
        <v>573</v>
      </c>
      <c r="Q11" s="181"/>
    </row>
    <row r="12" spans="2:17">
      <c r="B12" s="123" t="s">
        <v>574</v>
      </c>
      <c r="C12" s="123" t="s">
        <v>575</v>
      </c>
      <c r="Q12" s="181"/>
    </row>
    <row r="13" spans="2:17">
      <c r="B13" s="123" t="s">
        <v>576</v>
      </c>
      <c r="C13" s="123" t="s">
        <v>577</v>
      </c>
      <c r="Q13" s="181"/>
    </row>
    <row r="14" spans="2:17">
      <c r="B14" s="123" t="s">
        <v>578</v>
      </c>
      <c r="C14" s="123" t="s">
        <v>579</v>
      </c>
      <c r="Q14" s="181"/>
    </row>
    <row r="15" spans="2:17">
      <c r="B15" s="123" t="s">
        <v>580</v>
      </c>
      <c r="C15" s="123" t="s">
        <v>581</v>
      </c>
      <c r="E15" s="181"/>
      <c r="Q15" s="181"/>
    </row>
    <row r="16" spans="2:17">
      <c r="B16" s="123" t="s">
        <v>582</v>
      </c>
      <c r="C16" s="123" t="s">
        <v>583</v>
      </c>
      <c r="Q16" s="181"/>
    </row>
    <row r="17" spans="3:17">
      <c r="C17" s="182"/>
      <c r="Q17" s="181"/>
    </row>
    <row r="18" spans="3:17">
      <c r="Q18" s="181"/>
    </row>
    <row r="19" spans="3:17">
      <c r="Q19" s="181"/>
    </row>
    <row r="20" spans="3:17">
      <c r="Q20" s="181"/>
    </row>
    <row r="21" spans="3:17">
      <c r="Q21" s="181"/>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3D938-D244-4663-A6FC-BFF446A609B3}">
  <sheetPr codeName="Sheet13"/>
  <dimension ref="A2:J20"/>
  <sheetViews>
    <sheetView workbookViewId="0">
      <selection activeCell="J29" sqref="J29"/>
    </sheetView>
  </sheetViews>
  <sheetFormatPr baseColWidth="10" defaultColWidth="8.85546875" defaultRowHeight="15"/>
  <cols>
    <col min="1" max="16384" width="8.85546875" style="124"/>
  </cols>
  <sheetData>
    <row r="2" spans="1:10">
      <c r="A2" s="124" t="s">
        <v>584</v>
      </c>
      <c r="B2" s="124" t="s">
        <v>585</v>
      </c>
      <c r="C2" s="124" t="s">
        <v>586</v>
      </c>
      <c r="D2" s="124" t="s">
        <v>587</v>
      </c>
      <c r="E2" s="124" t="s">
        <v>588</v>
      </c>
      <c r="F2" s="124" t="s">
        <v>587</v>
      </c>
      <c r="G2" s="124" t="s">
        <v>589</v>
      </c>
      <c r="H2" s="124" t="s">
        <v>587</v>
      </c>
      <c r="J2" s="124" t="str">
        <f>'6 LCA'!E52</f>
        <v>Yes</v>
      </c>
    </row>
    <row r="3" spans="1:10">
      <c r="A3" s="124" t="s">
        <v>543</v>
      </c>
      <c r="G3" s="124">
        <v>0.14005000000000001</v>
      </c>
      <c r="H3" s="124" t="s">
        <v>590</v>
      </c>
      <c r="J3" s="124">
        <f>IF($J$2="Yes",G3,0)</f>
        <v>0.14005000000000001</v>
      </c>
    </row>
    <row r="4" spans="1:10">
      <c r="A4" s="124" t="s">
        <v>544</v>
      </c>
      <c r="G4" s="124">
        <v>78.322379999999995</v>
      </c>
      <c r="H4" s="124" t="s">
        <v>591</v>
      </c>
      <c r="J4" s="124">
        <f t="shared" ref="J4:J20" si="0">IF($J$2="Yes",G4,0)</f>
        <v>78.322379999999995</v>
      </c>
    </row>
    <row r="5" spans="1:10">
      <c r="A5" s="124" t="s">
        <v>545</v>
      </c>
      <c r="G5" s="124">
        <v>1.8365</v>
      </c>
      <c r="H5" s="124" t="s">
        <v>592</v>
      </c>
      <c r="J5" s="124">
        <f t="shared" si="0"/>
        <v>1.8365</v>
      </c>
    </row>
    <row r="6" spans="1:10">
      <c r="A6" s="124" t="s">
        <v>546</v>
      </c>
      <c r="G6" s="124">
        <v>2.4522900000000001</v>
      </c>
      <c r="H6" s="124" t="s">
        <v>592</v>
      </c>
      <c r="J6" s="124">
        <f t="shared" si="0"/>
        <v>2.4522900000000001</v>
      </c>
    </row>
    <row r="7" spans="1:10">
      <c r="A7" s="124" t="s">
        <v>547</v>
      </c>
      <c r="G7" s="124">
        <v>148.55942999999999</v>
      </c>
      <c r="H7" s="124" t="s">
        <v>592</v>
      </c>
      <c r="J7" s="124">
        <f t="shared" si="0"/>
        <v>148.55942999999999</v>
      </c>
    </row>
    <row r="8" spans="1:10">
      <c r="A8" s="124" t="s">
        <v>548</v>
      </c>
      <c r="G8" s="124">
        <v>10.822480000000001</v>
      </c>
      <c r="H8" s="124" t="s">
        <v>593</v>
      </c>
      <c r="J8" s="124">
        <f t="shared" si="0"/>
        <v>10.822480000000001</v>
      </c>
    </row>
    <row r="9" spans="1:10">
      <c r="A9" s="124" t="s">
        <v>549</v>
      </c>
      <c r="G9" s="124">
        <v>3.0370000000000001E-2</v>
      </c>
      <c r="H9" s="124" t="s">
        <v>594</v>
      </c>
      <c r="J9" s="124">
        <f t="shared" si="0"/>
        <v>3.0370000000000001E-2</v>
      </c>
    </row>
    <row r="10" spans="1:10">
      <c r="A10" s="124" t="s">
        <v>550</v>
      </c>
      <c r="G10" s="124">
        <v>3.8500000000000001E-3</v>
      </c>
      <c r="H10" s="124" t="s">
        <v>595</v>
      </c>
      <c r="J10" s="124">
        <f t="shared" si="0"/>
        <v>3.8500000000000001E-3</v>
      </c>
    </row>
    <row r="11" spans="1:10">
      <c r="A11" s="124" t="s">
        <v>551</v>
      </c>
      <c r="G11" s="124">
        <v>3.3213900000000001</v>
      </c>
      <c r="H11" s="124" t="s">
        <v>592</v>
      </c>
      <c r="J11" s="124">
        <f t="shared" si="0"/>
        <v>3.3213900000000001</v>
      </c>
    </row>
    <row r="12" spans="1:10">
      <c r="A12" s="124" t="s">
        <v>552</v>
      </c>
      <c r="G12" s="124">
        <v>44.601410000000001</v>
      </c>
      <c r="H12" s="124" t="s">
        <v>592</v>
      </c>
      <c r="J12" s="124">
        <f t="shared" si="0"/>
        <v>44.601410000000001</v>
      </c>
    </row>
    <row r="13" spans="1:10">
      <c r="A13" s="124" t="s">
        <v>553</v>
      </c>
      <c r="G13" s="124">
        <v>4.3104800000000001</v>
      </c>
      <c r="H13" s="124" t="s">
        <v>596</v>
      </c>
      <c r="J13" s="124">
        <f t="shared" si="0"/>
        <v>4.3104800000000001</v>
      </c>
    </row>
    <row r="14" spans="1:10">
      <c r="A14" s="124" t="s">
        <v>554</v>
      </c>
      <c r="G14" s="124">
        <v>45.873240000000003</v>
      </c>
      <c r="H14" s="124" t="s">
        <v>597</v>
      </c>
      <c r="J14" s="124">
        <f t="shared" si="0"/>
        <v>45.873240000000003</v>
      </c>
    </row>
    <row r="15" spans="1:10">
      <c r="A15" s="124" t="s">
        <v>555</v>
      </c>
      <c r="G15" s="124">
        <v>0.44468999999999997</v>
      </c>
      <c r="H15" s="124" t="s">
        <v>598</v>
      </c>
      <c r="J15" s="124">
        <f t="shared" si="0"/>
        <v>0.44468999999999997</v>
      </c>
    </row>
    <row r="16" spans="1:10">
      <c r="A16" s="124" t="s">
        <v>556</v>
      </c>
      <c r="G16" s="124">
        <v>1.2999999999999999E-4</v>
      </c>
      <c r="H16" s="124" t="s">
        <v>599</v>
      </c>
      <c r="J16" s="124">
        <f t="shared" si="0"/>
        <v>1.2999999999999999E-4</v>
      </c>
    </row>
    <row r="17" spans="1:10">
      <c r="A17" s="124" t="s">
        <v>557</v>
      </c>
      <c r="G17" s="124">
        <v>8.8569999999999996E-2</v>
      </c>
      <c r="H17" s="124" t="s">
        <v>600</v>
      </c>
      <c r="J17" s="124">
        <f t="shared" si="0"/>
        <v>8.8569999999999996E-2</v>
      </c>
    </row>
    <row r="18" spans="1:10">
      <c r="A18" s="124" t="s">
        <v>558</v>
      </c>
      <c r="G18" s="124">
        <v>0.13700999999999999</v>
      </c>
      <c r="H18" s="124" t="s">
        <v>601</v>
      </c>
      <c r="J18" s="124">
        <f t="shared" si="0"/>
        <v>0.13700999999999999</v>
      </c>
    </row>
    <row r="19" spans="1:10">
      <c r="A19" s="124" t="s">
        <v>559</v>
      </c>
      <c r="G19" s="124">
        <v>0.15617</v>
      </c>
      <c r="H19" s="124" t="s">
        <v>601</v>
      </c>
      <c r="J19" s="124">
        <f t="shared" si="0"/>
        <v>0.15617</v>
      </c>
    </row>
    <row r="20" spans="1:10">
      <c r="A20" s="124" t="s">
        <v>560</v>
      </c>
      <c r="G20" s="124">
        <v>0.78441000000000005</v>
      </c>
      <c r="H20" s="124" t="s">
        <v>105</v>
      </c>
      <c r="J20" s="124">
        <f t="shared" si="0"/>
        <v>0.78441000000000005</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BA052-8869-427B-8A49-0EA1053903B8}">
  <sheetPr codeName="Sheet14"/>
  <dimension ref="A1:T54"/>
  <sheetViews>
    <sheetView topLeftCell="A28" workbookViewId="0">
      <selection activeCell="J29" sqref="J29"/>
    </sheetView>
  </sheetViews>
  <sheetFormatPr baseColWidth="10" defaultColWidth="8.85546875" defaultRowHeight="15"/>
  <cols>
    <col min="1" max="1" width="8.85546875" style="124"/>
    <col min="2" max="2" width="12" style="124" bestFit="1" customWidth="1"/>
    <col min="3" max="16384" width="8.85546875" style="124"/>
  </cols>
  <sheetData>
    <row r="1" spans="1:20">
      <c r="A1" s="124" t="s">
        <v>602</v>
      </c>
      <c r="E1" s="124" t="s">
        <v>603</v>
      </c>
      <c r="I1" s="124" t="s">
        <v>604</v>
      </c>
      <c r="M1" s="124" t="s">
        <v>605</v>
      </c>
      <c r="N1" s="124" t="s">
        <v>606</v>
      </c>
      <c r="O1" s="124" t="s">
        <v>607</v>
      </c>
      <c r="P1" s="124" t="s">
        <v>608</v>
      </c>
      <c r="Q1" s="124" t="s">
        <v>609</v>
      </c>
      <c r="S1" s="124" t="s">
        <v>610</v>
      </c>
      <c r="T1" s="124" t="s">
        <v>611</v>
      </c>
    </row>
    <row r="2" spans="1:20">
      <c r="A2" s="124" t="s">
        <v>584</v>
      </c>
      <c r="B2" s="124" t="s">
        <v>589</v>
      </c>
      <c r="C2" s="124" t="s">
        <v>587</v>
      </c>
      <c r="E2" s="124" t="s">
        <v>584</v>
      </c>
      <c r="F2" s="124" t="s">
        <v>589</v>
      </c>
      <c r="G2" s="124" t="s">
        <v>587</v>
      </c>
      <c r="I2" s="124" t="s">
        <v>584</v>
      </c>
      <c r="J2" s="124" t="s">
        <v>589</v>
      </c>
      <c r="K2" s="124" t="s">
        <v>587</v>
      </c>
      <c r="O2" s="124" t="s">
        <v>434</v>
      </c>
      <c r="P2" s="124" t="s">
        <v>612</v>
      </c>
      <c r="Q2" s="124" t="s">
        <v>500</v>
      </c>
      <c r="R2" s="124" t="s">
        <v>504</v>
      </c>
      <c r="S2" s="124" t="s">
        <v>613</v>
      </c>
      <c r="T2" s="124" t="s">
        <v>614</v>
      </c>
    </row>
    <row r="3" spans="1:20">
      <c r="A3" s="124" t="s">
        <v>543</v>
      </c>
      <c r="B3" s="124">
        <v>0.15784999999999999</v>
      </c>
      <c r="C3" s="124" t="s">
        <v>590</v>
      </c>
      <c r="E3" s="124" t="s">
        <v>543</v>
      </c>
      <c r="F3" s="124">
        <v>3.9500000000000004E-3</v>
      </c>
      <c r="G3" s="124" t="s">
        <v>590</v>
      </c>
      <c r="I3" s="124" t="s">
        <v>543</v>
      </c>
      <c r="J3" s="124">
        <f>B3-F3</f>
        <v>0.15389999999999998</v>
      </c>
      <c r="K3" s="124" t="s">
        <v>590</v>
      </c>
      <c r="M3" s="124">
        <f>Insulation!B62</f>
        <v>2.4477142857142858E-4</v>
      </c>
      <c r="N3" s="124">
        <f>Insulation!G62</f>
        <v>2.3679838513049937E-3</v>
      </c>
      <c r="O3" s="124">
        <f>M3/2400/2400*'6 LCA'!E$44*'6 LCA'!E$45*'6 LCA'!E$48</f>
        <v>2.9013913293650797E-2</v>
      </c>
      <c r="P3" s="124">
        <f>F3/2020/845/45*'6 LCA'!E$44*'6 LCA'!E$45*'6 LCA'!E$48</f>
        <v>3.5111111111111114E-2</v>
      </c>
      <c r="Q3" s="124">
        <f>J3/2020/845*'6 LCA'!E$44*'6 LCA'!E$45</f>
        <v>0.15389999999999998</v>
      </c>
      <c r="R3" s="124">
        <f>N3/2400/2400*'6 LCA'!E$44*'6 LCA'!E$45*'6 LCA'!E$48</f>
        <v>0.28068830804114542</v>
      </c>
      <c r="S3" s="124">
        <f>Ecoboards!H2/2400/2400*'6 LCA'!E$44*'6 LCA'!E$45</f>
        <v>5.5711319444444452E-4</v>
      </c>
      <c r="T3" s="124">
        <f>Ecoboards!I2/2400/2400*'6 LCA'!E$44*'6 LCA'!E$45</f>
        <v>0</v>
      </c>
    </row>
    <row r="4" spans="1:20">
      <c r="A4" s="124" t="s">
        <v>544</v>
      </c>
      <c r="B4" s="124">
        <v>56.438090000000003</v>
      </c>
      <c r="C4" s="124" t="s">
        <v>591</v>
      </c>
      <c r="E4" s="124" t="s">
        <v>544</v>
      </c>
      <c r="F4" s="124">
        <v>1.5537099999999999</v>
      </c>
      <c r="G4" s="124" t="s">
        <v>591</v>
      </c>
      <c r="I4" s="124" t="s">
        <v>544</v>
      </c>
      <c r="J4" s="124">
        <f t="shared" ref="J4:J20" si="0">B4-F4</f>
        <v>54.88438</v>
      </c>
      <c r="K4" s="124" t="s">
        <v>591</v>
      </c>
      <c r="M4" s="124">
        <f>Insulation!B63</f>
        <v>9.857074285714286E-2</v>
      </c>
      <c r="N4" s="124">
        <f>Insulation!G63</f>
        <v>0.90138227839488327</v>
      </c>
      <c r="O4" s="124">
        <f>M4/2400/2400*'6 LCA'!E$44*'6 LCA'!E$45*'6 LCA'!E$48</f>
        <v>11.684055623809524</v>
      </c>
      <c r="P4" s="124">
        <f>F4/2020/845/45*'6 LCA'!E$44*'6 LCA'!E$45*'6 LCA'!E$48</f>
        <v>13.810755555555557</v>
      </c>
      <c r="Q4" s="124">
        <f>J4/2020/845*'6 LCA'!E$44*'6 LCA'!E$45</f>
        <v>54.884379999999993</v>
      </c>
      <c r="R4" s="124">
        <f>N4/2400/2400*'6 LCA'!E$44*'6 LCA'!E$45*'6 LCA'!E$48</f>
        <v>106.84509798557129</v>
      </c>
      <c r="S4" s="124">
        <f>Ecoboards!H3/2400/2400*'6 LCA'!E$44*'6 LCA'!E$45</f>
        <v>0.17767762187500002</v>
      </c>
      <c r="T4" s="124">
        <f>Ecoboards!I3/2400/2400*'6 LCA'!E$44*'6 LCA'!E$45</f>
        <v>0.23706944444444447</v>
      </c>
    </row>
    <row r="5" spans="1:20">
      <c r="A5" s="124" t="s">
        <v>545</v>
      </c>
      <c r="B5" s="124">
        <v>4.8148</v>
      </c>
      <c r="C5" s="124" t="s">
        <v>592</v>
      </c>
      <c r="E5" s="124" t="s">
        <v>545</v>
      </c>
      <c r="F5" s="124">
        <v>8.0960000000000004E-2</v>
      </c>
      <c r="G5" s="124" t="s">
        <v>592</v>
      </c>
      <c r="I5" s="124" t="s">
        <v>545</v>
      </c>
      <c r="J5" s="124">
        <f t="shared" si="0"/>
        <v>4.7338399999999998</v>
      </c>
      <c r="K5" s="124" t="s">
        <v>592</v>
      </c>
      <c r="M5" s="124">
        <f>Insulation!B64</f>
        <v>2.2908857142857142E-3</v>
      </c>
      <c r="N5" s="124">
        <f>Insulation!G64</f>
        <v>9.6104580944766701E-3</v>
      </c>
      <c r="O5" s="124">
        <f>M5/2400/2400*'6 LCA'!E$44*'6 LCA'!E$45*'6 LCA'!E$48</f>
        <v>0.2715495017857143</v>
      </c>
      <c r="P5" s="124">
        <f>F5/2020/845/45*'6 LCA'!E$44*'6 LCA'!E$45*'6 LCA'!E$48</f>
        <v>0.71964444444444442</v>
      </c>
      <c r="Q5" s="124">
        <f>J5/2020/845*'6 LCA'!E$44*'6 LCA'!E$45</f>
        <v>4.7338399999999989</v>
      </c>
      <c r="R5" s="124">
        <f>N5/2400/2400*'6 LCA'!E$44*'6 LCA'!E$45*'6 LCA'!E$48</f>
        <v>1.1391729806570992</v>
      </c>
      <c r="S5" s="124">
        <f>Ecoboards!H4/2400/2400*'6 LCA'!E$44*'6 LCA'!E$45</f>
        <v>3.953132986111111E-3</v>
      </c>
      <c r="T5" s="124">
        <f>Ecoboards!I4/2400/2400*'6 LCA'!E$44*'6 LCA'!E$45</f>
        <v>0</v>
      </c>
    </row>
    <row r="6" spans="1:20">
      <c r="A6" s="124" t="s">
        <v>546</v>
      </c>
      <c r="B6" s="124">
        <v>6.5921799999999999</v>
      </c>
      <c r="C6" s="124" t="s">
        <v>592</v>
      </c>
      <c r="E6" s="124" t="s">
        <v>546</v>
      </c>
      <c r="F6" s="124">
        <v>0.10596999999999999</v>
      </c>
      <c r="G6" s="124" t="s">
        <v>592</v>
      </c>
      <c r="I6" s="124" t="s">
        <v>546</v>
      </c>
      <c r="J6" s="124">
        <f t="shared" si="0"/>
        <v>6.4862099999999998</v>
      </c>
      <c r="K6" s="124" t="s">
        <v>592</v>
      </c>
      <c r="M6" s="124">
        <f>Insulation!B65</f>
        <v>3.2809714285714285E-3</v>
      </c>
      <c r="N6" s="124">
        <f>Insulation!G65</f>
        <v>1.3095979269793208E-2</v>
      </c>
      <c r="O6" s="124">
        <f>M6/2400/2400*'6 LCA'!E$44*'6 LCA'!E$45*'6 LCA'!E$48</f>
        <v>0.38890903690476186</v>
      </c>
      <c r="P6" s="124">
        <f>F6/2020/845/45*'6 LCA'!E$44*'6 LCA'!E$45*'6 LCA'!E$48</f>
        <v>0.94195555555555566</v>
      </c>
      <c r="Q6" s="124">
        <f>J6/2020/845*'6 LCA'!E$44*'6 LCA'!E$45</f>
        <v>6.4862099999999998</v>
      </c>
      <c r="R6" s="124">
        <f>N6/2400/2400*'6 LCA'!E$44*'6 LCA'!E$45*'6 LCA'!E$48</f>
        <v>1.5523282649729182</v>
      </c>
      <c r="S6" s="124">
        <f>Ecoboards!H5/2400/2400*'6 LCA'!E$44*'6 LCA'!E$45</f>
        <v>5.5266814236111109E-3</v>
      </c>
      <c r="T6" s="124">
        <f>Ecoboards!I5/2400/2400*'6 LCA'!E$44*'6 LCA'!E$45</f>
        <v>0</v>
      </c>
    </row>
    <row r="7" spans="1:20">
      <c r="A7" s="124" t="s">
        <v>547</v>
      </c>
      <c r="B7" s="124">
        <v>282.06139000000002</v>
      </c>
      <c r="C7" s="124" t="s">
        <v>592</v>
      </c>
      <c r="E7" s="124" t="s">
        <v>547</v>
      </c>
      <c r="F7" s="124">
        <v>5.2363600000000003</v>
      </c>
      <c r="G7" s="124" t="s">
        <v>592</v>
      </c>
      <c r="I7" s="124" t="s">
        <v>547</v>
      </c>
      <c r="J7" s="124">
        <f t="shared" si="0"/>
        <v>276.82503000000003</v>
      </c>
      <c r="K7" s="124" t="s">
        <v>592</v>
      </c>
      <c r="M7" s="124">
        <f>Insulation!B66</f>
        <v>0.48706011428571427</v>
      </c>
      <c r="N7" s="124">
        <f>Insulation!G66</f>
        <v>0.91978033692256234</v>
      </c>
      <c r="O7" s="124">
        <f>M7/2400/2400*'6 LCA'!E$44*'6 LCA'!E$45*'6 LCA'!E$48</f>
        <v>57.733535352380947</v>
      </c>
      <c r="P7" s="124">
        <f>F7/2020/845/45*'6 LCA'!E$44*'6 LCA'!E$45*'6 LCA'!E$48</f>
        <v>46.545422222222228</v>
      </c>
      <c r="Q7" s="124">
        <f>J7/2020/845*'6 LCA'!E$44*'6 LCA'!E$45</f>
        <v>276.82503000000003</v>
      </c>
      <c r="R7" s="124">
        <f>N7/2400/2400*'6 LCA'!E$44*'6 LCA'!E$45*'6 LCA'!E$48</f>
        <v>109.02590674257789</v>
      </c>
      <c r="S7" s="124">
        <f>Ecoboards!H6/2400/2400*'6 LCA'!E$44*'6 LCA'!E$45</f>
        <v>0.61185549253472227</v>
      </c>
      <c r="T7" s="124">
        <f>Ecoboards!I6/2400/2400*'6 LCA'!E$44*'6 LCA'!E$45</f>
        <v>0</v>
      </c>
    </row>
    <row r="8" spans="1:20">
      <c r="A8" s="124" t="s">
        <v>548</v>
      </c>
      <c r="B8" s="124">
        <v>12.751390000000001</v>
      </c>
      <c r="C8" s="124" t="s">
        <v>593</v>
      </c>
      <c r="E8" s="124" t="s">
        <v>548</v>
      </c>
      <c r="F8" s="124">
        <v>0.35138000000000003</v>
      </c>
      <c r="G8" s="124" t="s">
        <v>593</v>
      </c>
      <c r="I8" s="124" t="s">
        <v>548</v>
      </c>
      <c r="J8" s="124">
        <f t="shared" si="0"/>
        <v>12.40001</v>
      </c>
      <c r="K8" s="124" t="s">
        <v>593</v>
      </c>
      <c r="M8" s="124">
        <f>Insulation!B67</f>
        <v>1.7456657142857143E-2</v>
      </c>
      <c r="N8" s="124">
        <f>Insulation!G67</f>
        <v>0.40039050583745844</v>
      </c>
      <c r="O8" s="124">
        <f>M8/2400/2400*'6 LCA'!E$44*'6 LCA'!E$45*'6 LCA'!E$48</f>
        <v>2.0692200053571428</v>
      </c>
      <c r="P8" s="124">
        <f>F8/2020/845/45*'6 LCA'!E$44*'6 LCA'!E$45*'6 LCA'!E$48</f>
        <v>3.1233777777777783</v>
      </c>
      <c r="Q8" s="124">
        <f>J8/2020/845*'6 LCA'!E$44*'6 LCA'!E$45</f>
        <v>12.40001</v>
      </c>
      <c r="R8" s="124">
        <f>N8/2400/2400*'6 LCA'!E$44*'6 LCA'!E$45*'6 LCA'!E$48</f>
        <v>47.460177389858181</v>
      </c>
      <c r="S8" s="124">
        <f>Ecoboards!H7/2400/2400*'6 LCA'!E$44*'6 LCA'!E$45</f>
        <v>4.6690827083333331E-2</v>
      </c>
      <c r="T8" s="124">
        <f>Ecoboards!I7/2400/2400*'6 LCA'!E$44*'6 LCA'!E$45</f>
        <v>0</v>
      </c>
    </row>
    <row r="9" spans="1:20">
      <c r="A9" s="124" t="s">
        <v>549</v>
      </c>
      <c r="B9" s="124">
        <v>2.4199999999999999E-2</v>
      </c>
      <c r="C9" s="124" t="s">
        <v>594</v>
      </c>
      <c r="E9" s="124" t="s">
        <v>549</v>
      </c>
      <c r="F9" s="124">
        <v>6.0999999999999997E-4</v>
      </c>
      <c r="G9" s="124" t="s">
        <v>594</v>
      </c>
      <c r="I9" s="124" t="s">
        <v>549</v>
      </c>
      <c r="J9" s="124">
        <f t="shared" si="0"/>
        <v>2.359E-2</v>
      </c>
      <c r="K9" s="124" t="s">
        <v>594</v>
      </c>
      <c r="M9" s="124">
        <f>Insulation!B68</f>
        <v>7.185714285714285E-5</v>
      </c>
      <c r="N9" s="124">
        <f>Insulation!G68</f>
        <v>8.006305248892897E-5</v>
      </c>
      <c r="O9" s="124">
        <f>M9/2400/2400*'6 LCA'!E$44*'6 LCA'!E$45*'6 LCA'!E$48</f>
        <v>8.5175664682539658E-3</v>
      </c>
      <c r="P9" s="124">
        <f>F9/2020/845/45*'6 LCA'!E$44*'6 LCA'!E$45*'6 LCA'!E$48</f>
        <v>5.4222222222222215E-3</v>
      </c>
      <c r="Q9" s="124">
        <f>J9/2020/845*'6 LCA'!E$44*'6 LCA'!E$45</f>
        <v>2.359E-2</v>
      </c>
      <c r="R9" s="124">
        <f>N9/2400/2400*'6 LCA'!E$44*'6 LCA'!E$45*'6 LCA'!E$48</f>
        <v>9.4902516870383931E-3</v>
      </c>
      <c r="S9" s="124">
        <f>Ecoboards!H8/2400/2400*'6 LCA'!E$44*'6 LCA'!E$45</f>
        <v>5.6303993055555552E-5</v>
      </c>
      <c r="T9" s="124">
        <f>Ecoboards!I8/2400/2400*'6 LCA'!E$44*'6 LCA'!E$45</f>
        <v>0</v>
      </c>
    </row>
    <row r="10" spans="1:20">
      <c r="A10" s="124" t="s">
        <v>550</v>
      </c>
      <c r="B10" s="124">
        <v>3.9500000000000004E-3</v>
      </c>
      <c r="C10" s="124" t="s">
        <v>595</v>
      </c>
      <c r="E10" s="124" t="s">
        <v>550</v>
      </c>
      <c r="F10" s="124">
        <v>1.07E-3</v>
      </c>
      <c r="G10" s="124" t="s">
        <v>595</v>
      </c>
      <c r="I10" s="124" t="s">
        <v>550</v>
      </c>
      <c r="J10" s="124">
        <f t="shared" si="0"/>
        <v>2.8800000000000006E-3</v>
      </c>
      <c r="K10" s="124" t="s">
        <v>595</v>
      </c>
      <c r="M10" s="124">
        <f>Insulation!B69</f>
        <v>1.7428571428571427E-6</v>
      </c>
      <c r="N10" s="124">
        <f>Insulation!G69</f>
        <v>1.0659953164248333E-5</v>
      </c>
      <c r="O10" s="124">
        <f>M10/2400/2400*'6 LCA'!E$44*'6 LCA'!E$45*'6 LCA'!E$48</f>
        <v>2.0658908730158732E-4</v>
      </c>
      <c r="P10" s="124">
        <f>F10/2020/845/45*'6 LCA'!E$44*'6 LCA'!E$45*'6 LCA'!E$48</f>
        <v>9.5111111111111125E-3</v>
      </c>
      <c r="Q10" s="124">
        <f>J10/2020/845*'6 LCA'!E$44*'6 LCA'!E$45</f>
        <v>2.8800000000000006E-3</v>
      </c>
      <c r="R10" s="124">
        <f>N10/2400/2400*'6 LCA'!E$44*'6 LCA'!E$45*'6 LCA'!E$48</f>
        <v>1.263574587226075E-3</v>
      </c>
      <c r="S10" s="124">
        <f>Ecoboards!H9/2400/2400*'6 LCA'!E$44*'6 LCA'!E$45</f>
        <v>5.2292185381944448E-6</v>
      </c>
      <c r="T10" s="124">
        <f>Ecoboards!I9/2400/2400*'6 LCA'!E$44*'6 LCA'!E$45</f>
        <v>0</v>
      </c>
    </row>
    <row r="11" spans="1:20">
      <c r="A11" s="124" t="s">
        <v>551</v>
      </c>
      <c r="B11" s="124">
        <v>61.535890000000002</v>
      </c>
      <c r="C11" s="124" t="s">
        <v>592</v>
      </c>
      <c r="E11" s="124" t="s">
        <v>551</v>
      </c>
      <c r="F11" s="124">
        <v>5.8049999999999997E-2</v>
      </c>
      <c r="G11" s="124" t="s">
        <v>592</v>
      </c>
      <c r="I11" s="124" t="s">
        <v>551</v>
      </c>
      <c r="J11" s="124">
        <f t="shared" si="0"/>
        <v>61.47784</v>
      </c>
      <c r="K11" s="124" t="s">
        <v>592</v>
      </c>
      <c r="M11" s="124">
        <f>Insulation!B70</f>
        <v>6.8041142857142856E-3</v>
      </c>
      <c r="N11" s="124">
        <f>Insulation!G70</f>
        <v>2.3157103894852038E-2</v>
      </c>
      <c r="O11" s="124">
        <f>M11/2400/2400*'6 LCA'!E$44*'6 LCA'!E$45*'6 LCA'!E$48</f>
        <v>0.80652379682539677</v>
      </c>
      <c r="P11" s="124">
        <f>F11/2020/845/45*'6 LCA'!E$44*'6 LCA'!E$45*'6 LCA'!E$48</f>
        <v>0.51600000000000001</v>
      </c>
      <c r="Q11" s="124">
        <f>J11/2020/845*'6 LCA'!E$44*'6 LCA'!E$45</f>
        <v>61.477839999999993</v>
      </c>
      <c r="R11" s="124">
        <f>N11/2400/2400*'6 LCA'!E$44*'6 LCA'!E$45*'6 LCA'!E$48</f>
        <v>2.7449208776474268</v>
      </c>
      <c r="S11" s="124">
        <f>Ecoboards!H10/2400/2400*'6 LCA'!E$44*'6 LCA'!E$45</f>
        <v>9.6724333333333325E-3</v>
      </c>
      <c r="T11" s="124">
        <f>Ecoboards!I10/2400/2400*'6 LCA'!E$44*'6 LCA'!E$45</f>
        <v>0</v>
      </c>
    </row>
    <row r="12" spans="1:20">
      <c r="A12" s="124" t="s">
        <v>552</v>
      </c>
      <c r="B12" s="124">
        <v>58.377859999999998</v>
      </c>
      <c r="C12" s="124" t="s">
        <v>592</v>
      </c>
      <c r="E12" s="124" t="s">
        <v>552</v>
      </c>
      <c r="F12" s="124">
        <v>1.9392499999999999</v>
      </c>
      <c r="G12" s="124" t="s">
        <v>592</v>
      </c>
      <c r="I12" s="124" t="s">
        <v>552</v>
      </c>
      <c r="J12" s="124">
        <f t="shared" si="0"/>
        <v>56.438609999999997</v>
      </c>
      <c r="K12" s="124" t="s">
        <v>592</v>
      </c>
      <c r="M12" s="124">
        <f>Insulation!B71</f>
        <v>-1.0732254571428572</v>
      </c>
      <c r="N12" s="124">
        <f>Insulation!G71</f>
        <v>0.22338544235970537</v>
      </c>
      <c r="O12" s="124">
        <f>M12/2400/2400*'6 LCA'!E$44*'6 LCA'!E$45*'6 LCA'!E$48</f>
        <v>-127.21448144424603</v>
      </c>
      <c r="P12" s="124">
        <f>F12/2020/845/45*'6 LCA'!E$44*'6 LCA'!E$45*'6 LCA'!E$48</f>
        <v>17.237777777777776</v>
      </c>
      <c r="Q12" s="124">
        <f>J12/2020/845*'6 LCA'!E$44*'6 LCA'!E$45</f>
        <v>56.438609999999997</v>
      </c>
      <c r="R12" s="124">
        <f>N12/2400/2400*'6 LCA'!E$44*'6 LCA'!E$45*'6 LCA'!E$48</f>
        <v>26.478931358595908</v>
      </c>
      <c r="S12" s="124">
        <f>Ecoboards!H11/2400/2400*'6 LCA'!E$44*'6 LCA'!E$45</f>
        <v>0.11645740121527776</v>
      </c>
      <c r="T12" s="124">
        <f>Ecoboards!I11/2400/2400*'6 LCA'!E$44*'6 LCA'!E$45</f>
        <v>0</v>
      </c>
    </row>
    <row r="13" spans="1:20">
      <c r="A13" s="124" t="s">
        <v>553</v>
      </c>
      <c r="B13" s="124">
        <v>1.94601</v>
      </c>
      <c r="C13" s="124" t="s">
        <v>596</v>
      </c>
      <c r="E13" s="124" t="s">
        <v>553</v>
      </c>
      <c r="F13" s="124">
        <v>3.5209999999999998E-2</v>
      </c>
      <c r="G13" s="124" t="s">
        <v>596</v>
      </c>
      <c r="I13" s="124" t="s">
        <v>553</v>
      </c>
      <c r="J13" s="124">
        <f t="shared" si="0"/>
        <v>1.9108000000000001</v>
      </c>
      <c r="K13" s="124" t="s">
        <v>596</v>
      </c>
      <c r="M13" s="124">
        <f>Insulation!B72</f>
        <v>1.0830857142857143E-3</v>
      </c>
      <c r="N13" s="124">
        <f>Insulation!G72</f>
        <v>1.0672937894432443E-2</v>
      </c>
      <c r="O13" s="124">
        <f>M13/2400/2400*'6 LCA'!E$44*'6 LCA'!E$45*'6 LCA'!E$48</f>
        <v>0.12838326428571428</v>
      </c>
      <c r="P13" s="124">
        <f>F13/2020/845/45*'6 LCA'!E$44*'6 LCA'!E$45*'6 LCA'!E$48</f>
        <v>0.31297777777777774</v>
      </c>
      <c r="Q13" s="124">
        <f>J13/2020/845*'6 LCA'!E$44*'6 LCA'!E$45</f>
        <v>1.9108000000000003</v>
      </c>
      <c r="R13" s="124">
        <f>N13/2400/2400*'6 LCA'!E$44*'6 LCA'!E$45*'6 LCA'!E$48</f>
        <v>1.2651137286115788</v>
      </c>
      <c r="S13" s="124">
        <f>Ecoboards!H12/2400/2400*'6 LCA'!E$44*'6 LCA'!E$45</f>
        <v>1.0339191145833333E-2</v>
      </c>
      <c r="T13" s="124">
        <f>Ecoboards!I12/2400/2400*'6 LCA'!E$44*'6 LCA'!E$45</f>
        <v>0</v>
      </c>
    </row>
    <row r="14" spans="1:20">
      <c r="A14" s="124" t="s">
        <v>554</v>
      </c>
      <c r="B14" s="124">
        <v>1.3613900000000001</v>
      </c>
      <c r="C14" s="124" t="s">
        <v>597</v>
      </c>
      <c r="E14" s="124" t="s">
        <v>554</v>
      </c>
      <c r="F14" s="124">
        <v>0.24773000000000001</v>
      </c>
      <c r="G14" s="124" t="s">
        <v>597</v>
      </c>
      <c r="I14" s="124" t="s">
        <v>554</v>
      </c>
      <c r="J14" s="124">
        <f t="shared" si="0"/>
        <v>1.1136600000000001</v>
      </c>
      <c r="K14" s="124" t="s">
        <v>597</v>
      </c>
      <c r="M14" s="124">
        <f>Insulation!B73</f>
        <v>2.0836982285714285</v>
      </c>
      <c r="N14" s="124">
        <f>Insulation!G73</f>
        <v>6.7075487210891301E-3</v>
      </c>
      <c r="O14" s="124">
        <f>M14/2400/2400*'6 LCA'!E$44*'6 LCA'!E$45*'6 LCA'!E$48</f>
        <v>246.99059071865079</v>
      </c>
      <c r="P14" s="124">
        <f>F14/2020/845/45*'6 LCA'!E$44*'6 LCA'!E$45*'6 LCA'!E$48</f>
        <v>2.2020444444444447</v>
      </c>
      <c r="Q14" s="124">
        <f>J14/2020/845*'6 LCA'!E$44*'6 LCA'!E$45</f>
        <v>1.1136600000000001</v>
      </c>
      <c r="R14" s="124">
        <f>N14/2400/2400*'6 LCA'!E$44*'6 LCA'!E$45*'6 LCA'!E$48</f>
        <v>0.7950774244463219</v>
      </c>
      <c r="S14" s="124">
        <f>Ecoboards!H13/2400/2400*'6 LCA'!E$44*'6 LCA'!E$45</f>
        <v>9.9717335069444447E-3</v>
      </c>
      <c r="T14" s="124">
        <f>Ecoboards!I13/2400/2400*'6 LCA'!E$44*'6 LCA'!E$45</f>
        <v>0</v>
      </c>
    </row>
    <row r="15" spans="1:20">
      <c r="A15" s="124" t="s">
        <v>555</v>
      </c>
      <c r="B15" s="124">
        <v>7.0781900000000002</v>
      </c>
      <c r="C15" s="124" t="s">
        <v>598</v>
      </c>
      <c r="E15" s="124" t="s">
        <v>555</v>
      </c>
      <c r="F15" s="124">
        <v>9.9000000000000008E-3</v>
      </c>
      <c r="G15" s="124" t="s">
        <v>598</v>
      </c>
      <c r="I15" s="124" t="s">
        <v>555</v>
      </c>
      <c r="J15" s="124">
        <f t="shared" si="0"/>
        <v>7.0682900000000002</v>
      </c>
      <c r="K15" s="124" t="s">
        <v>598</v>
      </c>
      <c r="M15" s="124">
        <f>Insulation!B74</f>
        <v>1.5813142857142857E-3</v>
      </c>
      <c r="N15" s="124">
        <f>Insulation!G74</f>
        <v>1.3681596271284469E-3</v>
      </c>
      <c r="O15" s="124">
        <f>M15/2400/2400*'6 LCA'!E$44*'6 LCA'!E$45*'6 LCA'!E$48</f>
        <v>0.18744064960317458</v>
      </c>
      <c r="P15" s="124">
        <f>F15/2020/845/45*'6 LCA'!E$44*'6 LCA'!E$45*'6 LCA'!E$48</f>
        <v>8.8000000000000009E-2</v>
      </c>
      <c r="Q15" s="124">
        <f>J15/2020/845*'6 LCA'!E$44*'6 LCA'!E$45</f>
        <v>7.0682900000000002</v>
      </c>
      <c r="R15" s="124">
        <f>N15/2400/2400*'6 LCA'!E$44*'6 LCA'!E$45*'6 LCA'!E$48</f>
        <v>0.16217442135732957</v>
      </c>
      <c r="S15" s="124">
        <f>Ecoboards!H14/2400/2400*'6 LCA'!E$44*'6 LCA'!E$45</f>
        <v>1.0016184027777778E-3</v>
      </c>
      <c r="T15" s="124">
        <f>Ecoboards!I14/2400/2400*'6 LCA'!E$44*'6 LCA'!E$45</f>
        <v>0</v>
      </c>
    </row>
    <row r="16" spans="1:20">
      <c r="A16" s="124" t="s">
        <v>556</v>
      </c>
      <c r="B16" s="181">
        <v>1.1116400000000001E-5</v>
      </c>
      <c r="C16" s="124" t="s">
        <v>599</v>
      </c>
      <c r="E16" s="124" t="s">
        <v>556</v>
      </c>
      <c r="F16" s="181">
        <v>1.1608299999999999E-6</v>
      </c>
      <c r="G16" s="124" t="s">
        <v>599</v>
      </c>
      <c r="I16" s="124" t="s">
        <v>556</v>
      </c>
      <c r="J16" s="124">
        <f t="shared" si="0"/>
        <v>9.9555700000000013E-6</v>
      </c>
      <c r="K16" s="124" t="s">
        <v>599</v>
      </c>
      <c r="M16" s="124">
        <f>Insulation!B75</f>
        <v>1.3999999999999999E-6</v>
      </c>
      <c r="N16" s="124">
        <f>Insulation!G75</f>
        <v>6.4276115467705448E-8</v>
      </c>
      <c r="O16" s="124">
        <f>M16/2400/2400*'6 LCA'!E$44*'6 LCA'!E$45*'6 LCA'!E$48</f>
        <v>1.6594861111111111E-4</v>
      </c>
      <c r="P16" s="124">
        <f>F16/2020/845/45*'6 LCA'!E$44*'6 LCA'!E$45*'6 LCA'!E$48</f>
        <v>1.0318488888888887E-5</v>
      </c>
      <c r="Q16" s="124">
        <f>J16/2020/845*'6 LCA'!E$44*'6 LCA'!E$45</f>
        <v>9.955570000000003E-6</v>
      </c>
      <c r="R16" s="124">
        <f>N16/2400/2400*'6 LCA'!E$44*'6 LCA'!E$45*'6 LCA'!E$48</f>
        <v>7.6189514924879461E-6</v>
      </c>
      <c r="S16" s="124">
        <f>Ecoboards!H15/2400/2400*'6 LCA'!E$44*'6 LCA'!E$45</f>
        <v>4.9373860520833337E-8</v>
      </c>
      <c r="T16" s="124">
        <f>Ecoboards!I15/2400/2400*'6 LCA'!E$44*'6 LCA'!E$45</f>
        <v>0</v>
      </c>
    </row>
    <row r="17" spans="1:20">
      <c r="A17" s="124" t="s">
        <v>557</v>
      </c>
      <c r="B17" s="124">
        <v>0.1009</v>
      </c>
      <c r="C17" s="124" t="s">
        <v>600</v>
      </c>
      <c r="E17" s="124" t="s">
        <v>557</v>
      </c>
      <c r="F17" s="124">
        <v>1.8400000000000001E-3</v>
      </c>
      <c r="G17" s="124" t="s">
        <v>600</v>
      </c>
      <c r="I17" s="124" t="s">
        <v>557</v>
      </c>
      <c r="J17" s="124">
        <f t="shared" si="0"/>
        <v>9.9060000000000009E-2</v>
      </c>
      <c r="K17" s="124" t="s">
        <v>600</v>
      </c>
      <c r="M17" s="124">
        <f>Insulation!B76</f>
        <v>1.282E-4</v>
      </c>
      <c r="N17" s="124">
        <f>Insulation!G76</f>
        <v>8.7020372984956994E-4</v>
      </c>
      <c r="O17" s="124">
        <f>M17/2400/2400*'6 LCA'!E$44*'6 LCA'!E$45*'6 LCA'!E$48</f>
        <v>1.519615138888889E-2</v>
      </c>
      <c r="P17" s="124">
        <f>F17/2020/845/45*'6 LCA'!E$44*'6 LCA'!E$45*'6 LCA'!E$48</f>
        <v>1.6355555555555557E-2</v>
      </c>
      <c r="Q17" s="124">
        <f>J17/2020/845*'6 LCA'!E$44*'6 LCA'!E$45</f>
        <v>9.9059999999999995E-2</v>
      </c>
      <c r="R17" s="124">
        <f>N17/2400/2400*'6 LCA'!E$44*'6 LCA'!E$45*'6 LCA'!E$48</f>
        <v>0.1031493573944605</v>
      </c>
      <c r="S17" s="124">
        <f>Ecoboards!H16/2400/2400*'6 LCA'!E$44*'6 LCA'!E$45</f>
        <v>3.407873263888889E-4</v>
      </c>
      <c r="T17" s="124">
        <f>Ecoboards!I16/2400/2400*'6 LCA'!E$44*'6 LCA'!E$45</f>
        <v>0</v>
      </c>
    </row>
    <row r="18" spans="1:20">
      <c r="A18" s="124" t="s">
        <v>558</v>
      </c>
      <c r="B18" s="124">
        <v>0.13950000000000001</v>
      </c>
      <c r="C18" s="124" t="s">
        <v>601</v>
      </c>
      <c r="E18" s="124" t="s">
        <v>558</v>
      </c>
      <c r="F18" s="124">
        <v>3.2699999999999999E-3</v>
      </c>
      <c r="G18" s="124" t="s">
        <v>601</v>
      </c>
      <c r="I18" s="124" t="s">
        <v>558</v>
      </c>
      <c r="J18" s="124">
        <f t="shared" si="0"/>
        <v>0.13623000000000002</v>
      </c>
      <c r="K18" s="124" t="s">
        <v>601</v>
      </c>
      <c r="M18" s="124">
        <f>Insulation!B77</f>
        <v>4.3722857142857141E-4</v>
      </c>
      <c r="N18" s="124">
        <f>Insulation!G77</f>
        <v>1.5862350519672717E-3</v>
      </c>
      <c r="O18" s="124">
        <f>M18/2400/2400*'6 LCA'!E$44*'6 LCA'!E$45*'6 LCA'!E$48</f>
        <v>5.1826767261904744E-2</v>
      </c>
      <c r="P18" s="124">
        <f>F18/2020/845/45*'6 LCA'!E$44*'6 LCA'!E$45*'6 LCA'!E$48</f>
        <v>2.9066666666666668E-2</v>
      </c>
      <c r="Q18" s="124">
        <f>J18/2020/845*'6 LCA'!E$44*'6 LCA'!E$45</f>
        <v>0.13622999999999999</v>
      </c>
      <c r="R18" s="124">
        <f>N18/2400/2400*'6 LCA'!E$44*'6 LCA'!E$45*'6 LCA'!E$48</f>
        <v>0.18802393126409275</v>
      </c>
      <c r="S18" s="124">
        <f>Ecoboards!H17/2400/2400*'6 LCA'!E$44*'6 LCA'!E$45</f>
        <v>4.8302899305555563E-4</v>
      </c>
      <c r="T18" s="124">
        <f>Ecoboards!I17/2400/2400*'6 LCA'!E$44*'6 LCA'!E$45</f>
        <v>0</v>
      </c>
    </row>
    <row r="19" spans="1:20">
      <c r="A19" s="124" t="s">
        <v>559</v>
      </c>
      <c r="B19" s="124">
        <v>0.14978</v>
      </c>
      <c r="C19" s="124" t="s">
        <v>601</v>
      </c>
      <c r="E19" s="124" t="s">
        <v>559</v>
      </c>
      <c r="F19" s="124">
        <v>3.4099999999999998E-3</v>
      </c>
      <c r="G19" s="124" t="s">
        <v>601</v>
      </c>
      <c r="I19" s="124" t="s">
        <v>559</v>
      </c>
      <c r="J19" s="124">
        <f t="shared" si="0"/>
        <v>0.14637</v>
      </c>
      <c r="K19" s="124" t="s">
        <v>601</v>
      </c>
      <c r="M19" s="124">
        <f>Insulation!B78</f>
        <v>4.5111428571428574E-4</v>
      </c>
      <c r="N19" s="124">
        <f>Insulation!G78</f>
        <v>1.709901849048259E-3</v>
      </c>
      <c r="O19" s="124">
        <f>M19/2400/2400*'6 LCA'!E$44*'6 LCA'!E$45*'6 LCA'!E$48</f>
        <v>5.3472706547619056E-2</v>
      </c>
      <c r="P19" s="124">
        <f>F19/2020/845/45*'6 LCA'!E$44*'6 LCA'!E$45*'6 LCA'!E$48</f>
        <v>3.0311111111111115E-2</v>
      </c>
      <c r="Q19" s="124">
        <f>J19/2020/845*'6 LCA'!E$44*'6 LCA'!E$45</f>
        <v>0.14637</v>
      </c>
      <c r="R19" s="124">
        <f>N19/2400/2400*'6 LCA'!E$44*'6 LCA'!E$45*'6 LCA'!E$48</f>
        <v>0.20268274070419953</v>
      </c>
      <c r="S19" s="124">
        <f>Ecoboards!H18/2400/2400*'6 LCA'!E$44*'6 LCA'!E$45</f>
        <v>4.9784583333333334E-4</v>
      </c>
      <c r="T19" s="124">
        <f>Ecoboards!I18/2400/2400*'6 LCA'!E$44*'6 LCA'!E$45</f>
        <v>0</v>
      </c>
    </row>
    <row r="20" spans="1:20">
      <c r="A20" s="124" t="s">
        <v>560</v>
      </c>
      <c r="B20" s="124">
        <v>0.59821999999999997</v>
      </c>
      <c r="C20" s="124" t="s">
        <v>105</v>
      </c>
      <c r="E20" s="124" t="s">
        <v>560</v>
      </c>
      <c r="F20" s="124">
        <v>2.0449999999999999E-2</v>
      </c>
      <c r="G20" s="124" t="s">
        <v>105</v>
      </c>
      <c r="I20" s="124" t="s">
        <v>560</v>
      </c>
      <c r="J20" s="124">
        <f t="shared" si="0"/>
        <v>0.57777000000000001</v>
      </c>
      <c r="K20" s="124" t="s">
        <v>105</v>
      </c>
      <c r="M20" s="124">
        <f>Insulation!B79</f>
        <v>1.8221142857142857E-3</v>
      </c>
      <c r="N20" s="124">
        <f>Insulation!G79</f>
        <v>1.3012457402713753E-2</v>
      </c>
      <c r="O20" s="124">
        <f>M20/2400/2400*'6 LCA'!E$44*'6 LCA'!E$45*'6 LCA'!E$48</f>
        <v>0.21598381071428574</v>
      </c>
      <c r="P20" s="124">
        <f>F20/2020/845/45*'6 LCA'!E$44*'6 LCA'!E$45*'6 LCA'!E$48</f>
        <v>0.18177777777777776</v>
      </c>
      <c r="Q20" s="124">
        <f>J20/2020/845*'6 LCA'!E$44*'6 LCA'!E$45</f>
        <v>0.57777000000000001</v>
      </c>
      <c r="R20" s="124">
        <f>N20/2400/2400*'6 LCA'!E$44*'6 LCA'!E$45*'6 LCA'!E$48</f>
        <v>1.5424280236591739</v>
      </c>
      <c r="S20" s="124">
        <f>Ecoboards!H19/2400/2400*'6 LCA'!E$44*'6 LCA'!E$45</f>
        <v>2.9248442708333334E-3</v>
      </c>
      <c r="T20" s="124">
        <f>Ecoboards!I19/2400/2400*'6 LCA'!E$44*'6 LCA'!E$45</f>
        <v>0</v>
      </c>
    </row>
    <row r="22" spans="1:20">
      <c r="A22" s="124" t="s">
        <v>615</v>
      </c>
    </row>
    <row r="23" spans="1:20">
      <c r="B23" s="124">
        <f>IF('6 LCA'!E43="Yes",HLOOKUP('6 LCA'!E46,Doors!O2:T20,3,FALSE),0)</f>
        <v>0.17767762187500002</v>
      </c>
      <c r="C23" s="124">
        <f>IF('6 LCA'!E43="Yes",HLOOKUP('6 LCA'!E47,Doors!O2:T20,3,FALSE),0)</f>
        <v>11.684055623809524</v>
      </c>
    </row>
    <row r="24" spans="1:20">
      <c r="F24" s="124" t="s">
        <v>616</v>
      </c>
    </row>
    <row r="25" spans="1:20">
      <c r="A25" s="124" t="s">
        <v>584</v>
      </c>
      <c r="B25" s="124" t="s">
        <v>615</v>
      </c>
      <c r="C25" s="124" t="s">
        <v>617</v>
      </c>
      <c r="D25" s="124" t="s">
        <v>587</v>
      </c>
    </row>
    <row r="26" spans="1:20">
      <c r="A26" s="124" t="s">
        <v>543</v>
      </c>
      <c r="B26" s="124">
        <f>IF('6 LCA'!$E$43="Yes",HLOOKUP('6 LCA'!$E$46,Doors!$O$2:$T$20,2,FALSE),0)</f>
        <v>5.5711319444444452E-4</v>
      </c>
      <c r="C26" s="124">
        <f>IF('6 LCA'!$E$43="Yes",HLOOKUP('6 LCA'!$E$47,Doors!$O$2:$T$20,2,FALSE),0)</f>
        <v>2.9013913293650797E-2</v>
      </c>
      <c r="D26" s="124" t="s">
        <v>590</v>
      </c>
    </row>
    <row r="27" spans="1:20">
      <c r="A27" s="124" t="s">
        <v>544</v>
      </c>
      <c r="B27" s="124">
        <f>IF('6 LCA'!$E$43="Yes",HLOOKUP('6 LCA'!$E$46,Doors!$O$2:$T$20,3,FALSE),0)</f>
        <v>0.17767762187500002</v>
      </c>
      <c r="C27" s="124">
        <f>IF('6 LCA'!$E$43="Yes",HLOOKUP('6 LCA'!$E$47,Doors!$O$2:$T$20,3,FALSE),0)</f>
        <v>11.684055623809524</v>
      </c>
      <c r="D27" s="124" t="s">
        <v>591</v>
      </c>
    </row>
    <row r="28" spans="1:20">
      <c r="A28" s="124" t="s">
        <v>545</v>
      </c>
      <c r="B28" s="124">
        <f>IF('6 LCA'!$E$43="Yes",HLOOKUP('6 LCA'!$E$46,Doors!$O$2:$T$20,4,FALSE),0)</f>
        <v>3.953132986111111E-3</v>
      </c>
      <c r="C28" s="124">
        <f>IF('6 LCA'!$E$43="Yes",HLOOKUP('6 LCA'!$E$47,Doors!$O$2:$T$20,4,FALSE),0)</f>
        <v>0.2715495017857143</v>
      </c>
      <c r="D28" s="124" t="s">
        <v>592</v>
      </c>
    </row>
    <row r="29" spans="1:20">
      <c r="A29" s="124" t="s">
        <v>546</v>
      </c>
      <c r="B29" s="124">
        <f>IF('6 LCA'!$E$43="Yes",HLOOKUP('6 LCA'!$E$46,Doors!$O$2:$T$20,5,FALSE),0)</f>
        <v>5.5266814236111109E-3</v>
      </c>
      <c r="C29" s="124">
        <f>IF('6 LCA'!$E$43="Yes",HLOOKUP('6 LCA'!$E$47,Doors!$O$2:$T$20,5,FALSE),0)</f>
        <v>0.38890903690476186</v>
      </c>
      <c r="D29" s="124" t="s">
        <v>592</v>
      </c>
    </row>
    <row r="30" spans="1:20">
      <c r="A30" s="124" t="s">
        <v>547</v>
      </c>
      <c r="B30" s="124">
        <f>IF('6 LCA'!$E$43="Yes",HLOOKUP('6 LCA'!$E$46,Doors!$O$2:$T$20,6,FALSE),0)</f>
        <v>0.61185549253472227</v>
      </c>
      <c r="C30" s="124">
        <f>IF('6 LCA'!$E$43="Yes",HLOOKUP('6 LCA'!$E$47,Doors!$O$2:$T$20,6,FALSE),0)</f>
        <v>57.733535352380947</v>
      </c>
      <c r="D30" s="124" t="s">
        <v>592</v>
      </c>
    </row>
    <row r="31" spans="1:20">
      <c r="A31" s="124" t="s">
        <v>548</v>
      </c>
      <c r="B31" s="124">
        <f>IF('6 LCA'!$E$43="Yes",HLOOKUP('6 LCA'!$E$46,Doors!$O$2:$T$20,7,FALSE),0)</f>
        <v>4.6690827083333331E-2</v>
      </c>
      <c r="C31" s="124">
        <f>IF('6 LCA'!$E$43="Yes",HLOOKUP('6 LCA'!$E$47,Doors!$O$2:$T$20,7,FALSE),0)</f>
        <v>2.0692200053571428</v>
      </c>
      <c r="D31" s="124" t="s">
        <v>593</v>
      </c>
    </row>
    <row r="32" spans="1:20">
      <c r="A32" s="124" t="s">
        <v>549</v>
      </c>
      <c r="B32" s="124">
        <f>IF('6 LCA'!$E$43="Yes",HLOOKUP('6 LCA'!$E$46,Doors!$O$2:$T$20,8,FALSE),0)</f>
        <v>5.6303993055555552E-5</v>
      </c>
      <c r="C32" s="124">
        <f>IF('6 LCA'!$E$43="Yes",HLOOKUP('6 LCA'!$E$47,Doors!$O$2:$T$20,8,FALSE),0)</f>
        <v>8.5175664682539658E-3</v>
      </c>
      <c r="D32" s="124" t="s">
        <v>594</v>
      </c>
    </row>
    <row r="33" spans="1:4">
      <c r="A33" s="124" t="s">
        <v>550</v>
      </c>
      <c r="B33" s="124">
        <f>IF('6 LCA'!$E$43="Yes",HLOOKUP('6 LCA'!$E$46,Doors!$O$2:$T$20,9,FALSE),0)</f>
        <v>5.2292185381944448E-6</v>
      </c>
      <c r="C33" s="124">
        <f>IF('6 LCA'!$E$43="Yes",HLOOKUP('6 LCA'!$E$47,Doors!$O$2:$T$20,9,FALSE),0)</f>
        <v>2.0658908730158732E-4</v>
      </c>
      <c r="D33" s="124" t="s">
        <v>595</v>
      </c>
    </row>
    <row r="34" spans="1:4">
      <c r="A34" s="124" t="s">
        <v>551</v>
      </c>
      <c r="B34" s="124">
        <f>IF('6 LCA'!$E$43="Yes",HLOOKUP('6 LCA'!$E$46,Doors!$O$2:$T$20,10,FALSE),0)</f>
        <v>9.6724333333333325E-3</v>
      </c>
      <c r="C34" s="124">
        <f>IF('6 LCA'!$E$43="Yes",HLOOKUP('6 LCA'!$E$47,Doors!$O$2:$T$20,10,FALSE),0)</f>
        <v>0.80652379682539677</v>
      </c>
      <c r="D34" s="124" t="s">
        <v>592</v>
      </c>
    </row>
    <row r="35" spans="1:4">
      <c r="A35" s="124" t="s">
        <v>552</v>
      </c>
      <c r="B35" s="124">
        <f>IF('6 LCA'!$E$43="Yes",HLOOKUP('6 LCA'!$E$46,Doors!$O$2:$T$20,11,FALSE),0)</f>
        <v>0.11645740121527776</v>
      </c>
      <c r="C35" s="124">
        <f>IF('6 LCA'!$E$43="Yes",HLOOKUP('6 LCA'!$E$47,Doors!$O$2:$T$20,11,FALSE),0)</f>
        <v>-127.21448144424603</v>
      </c>
      <c r="D35" s="124" t="s">
        <v>592</v>
      </c>
    </row>
    <row r="36" spans="1:4">
      <c r="A36" s="124" t="s">
        <v>553</v>
      </c>
      <c r="B36" s="124">
        <f>IF('6 LCA'!$E$43="Yes",HLOOKUP('6 LCA'!$E$46,Doors!$O$2:$T$20,12,FALSE),0)</f>
        <v>1.0339191145833333E-2</v>
      </c>
      <c r="C36" s="124">
        <f>IF('6 LCA'!$E$43="Yes",HLOOKUP('6 LCA'!$E$47,Doors!$O$2:$T$20,12,FALSE),0)</f>
        <v>0.12838326428571428</v>
      </c>
      <c r="D36" s="124" t="s">
        <v>596</v>
      </c>
    </row>
    <row r="37" spans="1:4">
      <c r="A37" s="124" t="s">
        <v>554</v>
      </c>
      <c r="B37" s="124">
        <f>IF('6 LCA'!$E$43="Yes",HLOOKUP('6 LCA'!$E$46,Doors!$O$2:$T$20,13,FALSE),0)</f>
        <v>9.9717335069444447E-3</v>
      </c>
      <c r="C37" s="124">
        <f>IF('6 LCA'!$E$43="Yes",HLOOKUP('6 LCA'!$E$47,Doors!$O$2:$T$20,13,FALSE),0)</f>
        <v>246.99059071865079</v>
      </c>
      <c r="D37" s="124" t="s">
        <v>597</v>
      </c>
    </row>
    <row r="38" spans="1:4">
      <c r="A38" s="124" t="s">
        <v>555</v>
      </c>
      <c r="B38" s="124">
        <f>IF('6 LCA'!$E$43="Yes",HLOOKUP('6 LCA'!$E$46,Doors!$O$2:$T$20,14,FALSE),0)</f>
        <v>1.0016184027777778E-3</v>
      </c>
      <c r="C38" s="124">
        <f>IF('6 LCA'!$E$43="Yes",HLOOKUP('6 LCA'!$E$47,Doors!$O$2:$T$20,14,FALSE),0)</f>
        <v>0.18744064960317458</v>
      </c>
      <c r="D38" s="124" t="s">
        <v>598</v>
      </c>
    </row>
    <row r="39" spans="1:4">
      <c r="A39" s="124" t="s">
        <v>556</v>
      </c>
      <c r="B39" s="124">
        <f>IF('6 LCA'!$E$43="Yes",HLOOKUP('6 LCA'!$E$46,Doors!$O$2:$T$20,15,FALSE),0)</f>
        <v>4.9373860520833337E-8</v>
      </c>
      <c r="C39" s="124">
        <f>IF('6 LCA'!$E$43="Yes",HLOOKUP('6 LCA'!$E$47,Doors!$O$2:$T$20,15,FALSE),0)</f>
        <v>1.6594861111111111E-4</v>
      </c>
      <c r="D39" s="124" t="s">
        <v>599</v>
      </c>
    </row>
    <row r="40" spans="1:4">
      <c r="A40" s="124" t="s">
        <v>557</v>
      </c>
      <c r="B40" s="124">
        <f>IF('6 LCA'!$E$43="Yes",HLOOKUP('6 LCA'!$E$46,Doors!$O$2:$T$20,16,FALSE),0)</f>
        <v>3.407873263888889E-4</v>
      </c>
      <c r="C40" s="124">
        <f>IF('6 LCA'!$E$43="Yes",HLOOKUP('6 LCA'!$E$47,Doors!$O$2:$T$20,16,FALSE),0)</f>
        <v>1.519615138888889E-2</v>
      </c>
      <c r="D40" s="124" t="s">
        <v>600</v>
      </c>
    </row>
    <row r="41" spans="1:4">
      <c r="A41" s="124" t="s">
        <v>558</v>
      </c>
      <c r="B41" s="124">
        <f>IF('6 LCA'!$E$43="Yes",HLOOKUP('6 LCA'!$E$46,Doors!$O$2:$T$20,17,FALSE),0)</f>
        <v>4.8302899305555563E-4</v>
      </c>
      <c r="C41" s="124">
        <f>IF('6 LCA'!$E$43="Yes",HLOOKUP('6 LCA'!$E$47,Doors!$O$2:$T$20,17,FALSE),0)</f>
        <v>5.1826767261904744E-2</v>
      </c>
      <c r="D41" s="124" t="s">
        <v>601</v>
      </c>
    </row>
    <row r="42" spans="1:4">
      <c r="A42" s="124" t="s">
        <v>559</v>
      </c>
      <c r="B42" s="124">
        <f>IF('6 LCA'!$E$43="Yes",HLOOKUP('6 LCA'!$E$46,Doors!$O$2:$T$20,18,FALSE),0)</f>
        <v>4.9784583333333334E-4</v>
      </c>
      <c r="C42" s="124">
        <f>IF('6 LCA'!$E$43="Yes",HLOOKUP('6 LCA'!$E$47,Doors!$O$2:$T$20,18,FALSE),0)</f>
        <v>5.3472706547619056E-2</v>
      </c>
      <c r="D42" s="124" t="s">
        <v>601</v>
      </c>
    </row>
    <row r="43" spans="1:4">
      <c r="A43" s="124" t="s">
        <v>560</v>
      </c>
      <c r="B43" s="124">
        <f>IF('6 LCA'!$E$43="Yes",HLOOKUP('6 LCA'!$E$46,Doors!$O$2:$T$20,19,FALSE),0)</f>
        <v>2.9248442708333334E-3</v>
      </c>
      <c r="C43" s="124">
        <f>IF('6 LCA'!$E$43="Yes",HLOOKUP('6 LCA'!$E$47,Doors!$O$2:$T$20,19,FALSE),0)</f>
        <v>0.21598381071428574</v>
      </c>
      <c r="D43" s="124" t="s">
        <v>105</v>
      </c>
    </row>
    <row r="48" spans="1:4">
      <c r="A48" s="124" t="s">
        <v>618</v>
      </c>
      <c r="B48" s="124">
        <f>('6 LCA'!E44/1000)*('6 LCA'!E45/1000)</f>
        <v>1.7068999999999999</v>
      </c>
      <c r="C48" s="124" t="s">
        <v>526</v>
      </c>
    </row>
    <row r="49" spans="1:3">
      <c r="A49" s="124" t="s">
        <v>619</v>
      </c>
      <c r="B49" s="124">
        <f>IF('6 LCA'!E46="Steel",(B48*(1/1000)),(B48*18/1000))</f>
        <v>3.0724199999999997E-2</v>
      </c>
      <c r="C49" s="124" t="s">
        <v>105</v>
      </c>
    </row>
    <row r="50" spans="1:3">
      <c r="A50" s="124" t="s">
        <v>620</v>
      </c>
      <c r="B50" s="124">
        <f>IF('6 LCA'!E46="Steel",(Doors!B49*7860),(Doors!B49*Ecoboards!E4))</f>
        <v>35.332829999999994</v>
      </c>
      <c r="C50" s="124" t="s">
        <v>621</v>
      </c>
    </row>
    <row r="51" spans="1:3">
      <c r="B51" s="124">
        <f>B50*2</f>
        <v>70.665659999999988</v>
      </c>
      <c r="C51" s="124" t="s">
        <v>622</v>
      </c>
    </row>
    <row r="52" spans="1:3">
      <c r="A52" s="124" t="s">
        <v>623</v>
      </c>
      <c r="B52" s="124">
        <f>B48*('6 LCA'!E48/1000)</f>
        <v>0.68276000000000003</v>
      </c>
      <c r="C52" s="124" t="s">
        <v>105</v>
      </c>
    </row>
    <row r="53" spans="1:3">
      <c r="A53" s="124" t="s">
        <v>624</v>
      </c>
      <c r="B53" s="124">
        <f>IF('6 LCA'!E47="Straw",('6 LCA'!F66*Doors!B52),('6 LCA'!F67*Doors!B52))</f>
        <v>102.414</v>
      </c>
      <c r="C53" s="124" t="s">
        <v>413</v>
      </c>
    </row>
    <row r="54" spans="1:3">
      <c r="A54" s="124" t="s">
        <v>625</v>
      </c>
      <c r="B54" s="124">
        <f>B51+B53</f>
        <v>173.07965999999999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DF4DA-C5C4-4F45-9315-A1478A5D5BEB}">
  <sheetPr codeName="Sheet15"/>
  <dimension ref="B2:L37"/>
  <sheetViews>
    <sheetView workbookViewId="0">
      <selection activeCell="J29" sqref="J29"/>
    </sheetView>
  </sheetViews>
  <sheetFormatPr baseColWidth="10" defaultColWidth="8.85546875" defaultRowHeight="15"/>
  <cols>
    <col min="1" max="6" width="8.85546875" style="124"/>
    <col min="7" max="7" width="59.5703125" style="124" customWidth="1"/>
    <col min="8" max="16384" width="8.85546875" style="124"/>
  </cols>
  <sheetData>
    <row r="2" spans="2:11">
      <c r="B2" s="124" t="s">
        <v>626</v>
      </c>
      <c r="C2" s="124">
        <f>'6 LCA'!S36</f>
        <v>2000</v>
      </c>
      <c r="D2" s="124" t="s">
        <v>469</v>
      </c>
      <c r="G2" s="124" t="s">
        <v>627</v>
      </c>
      <c r="H2" s="124" t="s">
        <v>473</v>
      </c>
      <c r="I2" s="124" t="s">
        <v>628</v>
      </c>
      <c r="J2" s="124" t="s">
        <v>629</v>
      </c>
      <c r="K2" s="124" t="s">
        <v>587</v>
      </c>
    </row>
    <row r="3" spans="2:11">
      <c r="C3" s="124">
        <f>C2/1000</f>
        <v>2</v>
      </c>
      <c r="D3" s="124" t="s">
        <v>105</v>
      </c>
      <c r="G3" s="124" t="s">
        <v>543</v>
      </c>
      <c r="H3" s="124">
        <v>1.061E-2</v>
      </c>
      <c r="I3" s="124">
        <v>2.6540000000000001E-2</v>
      </c>
      <c r="J3" s="124">
        <v>1.0529999999999999E-2</v>
      </c>
      <c r="K3" s="124" t="s">
        <v>590</v>
      </c>
    </row>
    <row r="4" spans="2:11">
      <c r="G4" s="124" t="s">
        <v>544</v>
      </c>
      <c r="H4" s="124">
        <v>3.7028699999999999</v>
      </c>
      <c r="I4" s="124">
        <v>6.6303200000000002</v>
      </c>
      <c r="J4" s="124">
        <v>3.6706300000000001</v>
      </c>
      <c r="K4" s="124" t="s">
        <v>591</v>
      </c>
    </row>
    <row r="5" spans="2:11">
      <c r="B5" s="124" t="s">
        <v>630</v>
      </c>
      <c r="C5" s="124">
        <f>'6 LCA'!S38</f>
        <v>2</v>
      </c>
      <c r="D5" s="124" t="s">
        <v>6</v>
      </c>
      <c r="G5" s="124" t="s">
        <v>545</v>
      </c>
      <c r="H5" s="124">
        <v>9.0660000000000004E-2</v>
      </c>
      <c r="I5" s="124">
        <v>0.15834999999999999</v>
      </c>
      <c r="J5" s="124">
        <v>8.9959999999999998E-2</v>
      </c>
      <c r="K5" s="124" t="s">
        <v>592</v>
      </c>
    </row>
    <row r="6" spans="2:11">
      <c r="B6" s="124" t="s">
        <v>631</v>
      </c>
      <c r="C6" s="124">
        <f>(C3/C5)</f>
        <v>1</v>
      </c>
      <c r="D6" s="124" t="s">
        <v>6</v>
      </c>
      <c r="G6" s="124" t="s">
        <v>546</v>
      </c>
      <c r="H6" s="124">
        <v>0.12021</v>
      </c>
      <c r="I6" s="124">
        <v>0.21646000000000001</v>
      </c>
      <c r="J6" s="124">
        <v>0.11927</v>
      </c>
      <c r="K6" s="124" t="s">
        <v>592</v>
      </c>
    </row>
    <row r="7" spans="2:11">
      <c r="B7" s="124" t="s">
        <v>632</v>
      </c>
      <c r="C7" s="124">
        <f>SQRT(C6/PI())</f>
        <v>0.56418958354775628</v>
      </c>
      <c r="D7" s="124" t="s">
        <v>6</v>
      </c>
      <c r="G7" s="124" t="s">
        <v>547</v>
      </c>
      <c r="H7" s="124">
        <v>6.0655700000000001</v>
      </c>
      <c r="I7" s="124">
        <v>5.1063700000000001</v>
      </c>
      <c r="J7" s="124">
        <v>5.7128899999999998</v>
      </c>
      <c r="K7" s="124" t="s">
        <v>592</v>
      </c>
    </row>
    <row r="8" spans="2:11">
      <c r="B8" s="124" t="s">
        <v>633</v>
      </c>
      <c r="C8" s="124">
        <v>5</v>
      </c>
      <c r="D8" s="124" t="s">
        <v>403</v>
      </c>
      <c r="G8" s="124" t="s">
        <v>548</v>
      </c>
      <c r="H8" s="124">
        <v>2.0274200000000002</v>
      </c>
      <c r="I8" s="124">
        <v>1.78806</v>
      </c>
      <c r="J8" s="124">
        <v>2.06135</v>
      </c>
      <c r="K8" s="124" t="s">
        <v>593</v>
      </c>
    </row>
    <row r="9" spans="2:11">
      <c r="G9" s="124" t="s">
        <v>549</v>
      </c>
      <c r="H9" s="124">
        <v>1.0399999999999999E-3</v>
      </c>
      <c r="I9" s="124">
        <v>1.06E-3</v>
      </c>
      <c r="J9" s="124">
        <v>1.0300000000000001E-3</v>
      </c>
      <c r="K9" s="124" t="s">
        <v>594</v>
      </c>
    </row>
    <row r="10" spans="2:11">
      <c r="B10" s="124" t="s">
        <v>634</v>
      </c>
      <c r="C10" s="124">
        <f>C6*(C8/1000)</f>
        <v>5.0000000000000001E-3</v>
      </c>
      <c r="D10" s="124" t="s">
        <v>105</v>
      </c>
      <c r="G10" s="124" t="s">
        <v>550</v>
      </c>
      <c r="H10" s="124">
        <v>1E-4</v>
      </c>
      <c r="I10" s="124">
        <v>1.1E-4</v>
      </c>
      <c r="J10" s="124">
        <v>1E-4</v>
      </c>
      <c r="K10" s="124" t="s">
        <v>595</v>
      </c>
    </row>
    <row r="11" spans="2:11">
      <c r="B11" s="124" t="s">
        <v>635</v>
      </c>
      <c r="C11" s="124">
        <f>C10</f>
        <v>5.0000000000000001E-3</v>
      </c>
      <c r="D11" s="124" t="s">
        <v>105</v>
      </c>
      <c r="G11" s="124" t="s">
        <v>551</v>
      </c>
      <c r="H11" s="124">
        <v>0.16667999999999999</v>
      </c>
      <c r="I11" s="124">
        <v>0.87794000000000005</v>
      </c>
      <c r="J11" s="124">
        <v>0.15107000000000001</v>
      </c>
      <c r="K11" s="124" t="s">
        <v>592</v>
      </c>
    </row>
    <row r="12" spans="2:11">
      <c r="B12" s="124" t="s">
        <v>636</v>
      </c>
      <c r="C12" s="124">
        <f>(PI()*C7)*C5*(C8/1000)</f>
        <v>1.7724538509055161E-2</v>
      </c>
      <c r="D12" s="124" t="s">
        <v>105</v>
      </c>
      <c r="G12" s="124" t="s">
        <v>552</v>
      </c>
      <c r="H12" s="124">
        <v>2.2178300000000002</v>
      </c>
      <c r="I12" s="124">
        <v>3.48461</v>
      </c>
      <c r="J12" s="124">
        <v>2.19909</v>
      </c>
      <c r="K12" s="124" t="s">
        <v>592</v>
      </c>
    </row>
    <row r="13" spans="2:11">
      <c r="B13" s="124" t="s">
        <v>22</v>
      </c>
      <c r="C13" s="124">
        <f>C10+C11+C12</f>
        <v>2.7724538509055159E-2</v>
      </c>
      <c r="D13" s="124" t="s">
        <v>105</v>
      </c>
      <c r="G13" s="124" t="s">
        <v>553</v>
      </c>
      <c r="H13" s="124">
        <v>0.25217000000000001</v>
      </c>
      <c r="I13" s="124">
        <v>0.21612000000000001</v>
      </c>
      <c r="J13" s="124">
        <v>0.24435000000000001</v>
      </c>
      <c r="K13" s="124" t="s">
        <v>596</v>
      </c>
    </row>
    <row r="14" spans="2:11">
      <c r="G14" s="124" t="s">
        <v>554</v>
      </c>
      <c r="H14" s="124">
        <v>0.22467999999999999</v>
      </c>
      <c r="I14" s="124">
        <v>0.21692</v>
      </c>
      <c r="J14" s="124">
        <v>0.22387000000000001</v>
      </c>
      <c r="K14" s="124" t="s">
        <v>597</v>
      </c>
    </row>
    <row r="15" spans="2:11">
      <c r="B15" s="124" t="s">
        <v>637</v>
      </c>
      <c r="G15" s="124" t="s">
        <v>555</v>
      </c>
      <c r="H15" s="124">
        <v>2.436E-2</v>
      </c>
      <c r="I15" s="124">
        <v>1.495E-2</v>
      </c>
      <c r="J15" s="124">
        <v>2.6669999999999999E-2</v>
      </c>
      <c r="K15" s="124" t="s">
        <v>598</v>
      </c>
    </row>
    <row r="16" spans="2:11">
      <c r="B16" s="124" t="s">
        <v>638</v>
      </c>
      <c r="C16" s="124" t="s">
        <v>639</v>
      </c>
      <c r="D16" s="124" t="s">
        <v>521</v>
      </c>
      <c r="E16" s="124" t="s">
        <v>640</v>
      </c>
      <c r="G16" s="124" t="s">
        <v>556</v>
      </c>
      <c r="H16" s="181">
        <v>8.1153200000000002E-7</v>
      </c>
      <c r="I16" s="181">
        <v>5.6492700000000002E-5</v>
      </c>
      <c r="J16" s="181">
        <v>7.2702699999999999E-7</v>
      </c>
      <c r="K16" s="124" t="s">
        <v>599</v>
      </c>
    </row>
    <row r="17" spans="2:11">
      <c r="B17" s="124" t="s">
        <v>473</v>
      </c>
      <c r="C17" s="124">
        <v>1</v>
      </c>
      <c r="D17" s="124">
        <f>C17*1000</f>
        <v>1000</v>
      </c>
      <c r="E17" s="124">
        <f>D17*$C$13</f>
        <v>27.724538509055158</v>
      </c>
      <c r="G17" s="124" t="s">
        <v>557</v>
      </c>
      <c r="H17" s="124">
        <v>4.9899999999999996E-3</v>
      </c>
      <c r="I17" s="124">
        <v>1.129E-2</v>
      </c>
      <c r="J17" s="124">
        <v>4.8599999999999997E-3</v>
      </c>
      <c r="K17" s="124" t="s">
        <v>600</v>
      </c>
    </row>
    <row r="18" spans="2:11">
      <c r="B18" s="124" t="s">
        <v>628</v>
      </c>
      <c r="C18" s="124">
        <v>1.4</v>
      </c>
      <c r="D18" s="124">
        <f>C18*1000</f>
        <v>1400</v>
      </c>
      <c r="E18" s="124">
        <f>D18*$C$13</f>
        <v>38.81435391267722</v>
      </c>
      <c r="G18" s="124" t="s">
        <v>558</v>
      </c>
      <c r="H18" s="124">
        <v>7.9699999999999997E-3</v>
      </c>
      <c r="I18" s="124">
        <v>1.414E-2</v>
      </c>
      <c r="J18" s="124">
        <v>7.6800000000000002E-3</v>
      </c>
      <c r="K18" s="124" t="s">
        <v>601</v>
      </c>
    </row>
    <row r="19" spans="2:11">
      <c r="B19" s="124" t="s">
        <v>629</v>
      </c>
      <c r="C19" s="124">
        <v>0.9</v>
      </c>
      <c r="D19" s="124">
        <f>C19*1000</f>
        <v>900</v>
      </c>
      <c r="E19" s="124">
        <f>D19*$C$13</f>
        <v>24.952084658149644</v>
      </c>
      <c r="G19" s="124" t="s">
        <v>559</v>
      </c>
      <c r="H19" s="124">
        <v>8.4499999999999992E-3</v>
      </c>
      <c r="I19" s="124">
        <v>1.4789999999999999E-2</v>
      </c>
      <c r="J19" s="124">
        <v>8.09E-3</v>
      </c>
      <c r="K19" s="124" t="s">
        <v>601</v>
      </c>
    </row>
    <row r="20" spans="2:11">
      <c r="G20" s="124" t="s">
        <v>560</v>
      </c>
      <c r="H20" s="124">
        <v>3.0620000000000001E-2</v>
      </c>
      <c r="I20" s="124">
        <v>6.6669999999999993E-2</v>
      </c>
      <c r="J20" s="124">
        <v>2.7959999999999999E-2</v>
      </c>
      <c r="K20" s="124" t="s">
        <v>105</v>
      </c>
    </row>
    <row r="21" spans="2:11">
      <c r="D21" s="124" t="s">
        <v>641</v>
      </c>
      <c r="E21" s="124">
        <f>VLOOKUP('6 LCA'!S37,'Water tank'!B17:E19,4)</f>
        <v>27.724538509055158</v>
      </c>
    </row>
    <row r="37" spans="12:12">
      <c r="L37" s="181"/>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0BD21-D164-4709-9C8C-A0BE03DAC449}">
  <sheetPr codeName="Sheet16"/>
  <dimension ref="B2:G20"/>
  <sheetViews>
    <sheetView workbookViewId="0">
      <selection activeCell="J29" sqref="J29"/>
    </sheetView>
  </sheetViews>
  <sheetFormatPr baseColWidth="10" defaultColWidth="8.85546875" defaultRowHeight="15"/>
  <cols>
    <col min="1" max="4" width="8.85546875" style="124"/>
    <col min="5" max="5" width="63.7109375" style="124" customWidth="1"/>
    <col min="6" max="6" width="11.7109375" style="124" bestFit="1" customWidth="1"/>
    <col min="7" max="16384" width="8.85546875" style="124"/>
  </cols>
  <sheetData>
    <row r="2" spans="2:7">
      <c r="B2" s="124" t="s">
        <v>642</v>
      </c>
      <c r="E2" s="124" t="s">
        <v>643</v>
      </c>
      <c r="F2" s="124" t="s">
        <v>589</v>
      </c>
      <c r="G2" s="124" t="s">
        <v>587</v>
      </c>
    </row>
    <row r="3" spans="2:7">
      <c r="B3" s="124" t="s">
        <v>644</v>
      </c>
      <c r="C3" s="124">
        <f>'6 LCA'!E35</f>
        <v>24.360000000000003</v>
      </c>
      <c r="D3" s="124" t="s">
        <v>526</v>
      </c>
      <c r="E3" s="124" t="s">
        <v>543</v>
      </c>
      <c r="F3" s="181">
        <v>2.88996E-6</v>
      </c>
      <c r="G3" s="124" t="s">
        <v>590</v>
      </c>
    </row>
    <row r="4" spans="2:7">
      <c r="B4" s="124" t="s">
        <v>645</v>
      </c>
      <c r="C4" s="124">
        <f>'6 LCA'!E36</f>
        <v>200</v>
      </c>
      <c r="D4" s="124" t="s">
        <v>403</v>
      </c>
      <c r="E4" s="124" t="s">
        <v>544</v>
      </c>
      <c r="F4" s="124">
        <v>8.0000000000000004E-4</v>
      </c>
      <c r="G4" s="124" t="s">
        <v>591</v>
      </c>
    </row>
    <row r="5" spans="2:7">
      <c r="B5" s="124" t="s">
        <v>630</v>
      </c>
      <c r="C5" s="183">
        <f>SQRT(C3)</f>
        <v>4.9355850717012268</v>
      </c>
      <c r="D5" s="124" t="s">
        <v>6</v>
      </c>
      <c r="E5" s="124" t="s">
        <v>545</v>
      </c>
      <c r="F5" s="181">
        <v>4.4586000000000003E-5</v>
      </c>
      <c r="G5" s="124" t="s">
        <v>592</v>
      </c>
    </row>
    <row r="6" spans="2:7">
      <c r="B6" s="124" t="s">
        <v>646</v>
      </c>
      <c r="C6" s="183">
        <f>SQRT(C3)</f>
        <v>4.9355850717012268</v>
      </c>
      <c r="D6" s="124" t="s">
        <v>6</v>
      </c>
      <c r="E6" s="124" t="s">
        <v>546</v>
      </c>
      <c r="F6" s="181">
        <v>5.8103899999999998E-5</v>
      </c>
      <c r="G6" s="124" t="s">
        <v>592</v>
      </c>
    </row>
    <row r="7" spans="2:7">
      <c r="B7" s="124" t="s">
        <v>647</v>
      </c>
      <c r="C7" s="124">
        <f>ROUNDUP(C6/(C4/1000),0)</f>
        <v>25</v>
      </c>
      <c r="E7" s="124" t="s">
        <v>547</v>
      </c>
      <c r="F7" s="124">
        <v>4.9699999999999996E-3</v>
      </c>
      <c r="G7" s="124" t="s">
        <v>592</v>
      </c>
    </row>
    <row r="8" spans="2:7">
      <c r="B8" s="124" t="s">
        <v>648</v>
      </c>
      <c r="C8" s="124">
        <f>ROUNDUP(C5/(C4/1000),0)</f>
        <v>25</v>
      </c>
      <c r="E8" s="124" t="s">
        <v>548</v>
      </c>
      <c r="F8" s="124">
        <v>2.0000000000000001E-4</v>
      </c>
      <c r="G8" s="124" t="s">
        <v>593</v>
      </c>
    </row>
    <row r="9" spans="2:7">
      <c r="E9" s="124" t="s">
        <v>549</v>
      </c>
      <c r="F9" s="181">
        <v>1.8394199999999999E-7</v>
      </c>
      <c r="G9" s="124" t="s">
        <v>594</v>
      </c>
    </row>
    <row r="10" spans="2:7">
      <c r="B10" s="124" t="s">
        <v>649</v>
      </c>
      <c r="C10" s="184">
        <f>C5*C8</f>
        <v>123.38962679253068</v>
      </c>
      <c r="D10" s="124" t="s">
        <v>6</v>
      </c>
      <c r="E10" s="124" t="s">
        <v>550</v>
      </c>
      <c r="F10" s="181">
        <v>1.0907800000000001E-7</v>
      </c>
      <c r="G10" s="124" t="s">
        <v>595</v>
      </c>
    </row>
    <row r="11" spans="2:7">
      <c r="B11" s="124" t="s">
        <v>650</v>
      </c>
      <c r="C11" s="184">
        <f>C6*C7</f>
        <v>123.38962679253068</v>
      </c>
      <c r="D11" s="124" t="s">
        <v>6</v>
      </c>
      <c r="E11" s="124" t="s">
        <v>551</v>
      </c>
      <c r="F11" s="181">
        <v>4.3606000000000002E-5</v>
      </c>
      <c r="G11" s="124" t="s">
        <v>592</v>
      </c>
    </row>
    <row r="12" spans="2:7">
      <c r="B12" s="124" t="s">
        <v>651</v>
      </c>
      <c r="C12" s="184">
        <f>C10+C11</f>
        <v>246.77925358506135</v>
      </c>
      <c r="D12" s="124" t="s">
        <v>6</v>
      </c>
      <c r="E12" s="124" t="s">
        <v>552</v>
      </c>
      <c r="F12" s="124">
        <v>8.8999999999999995E-4</v>
      </c>
      <c r="G12" s="124" t="s">
        <v>592</v>
      </c>
    </row>
    <row r="13" spans="2:7">
      <c r="E13" s="124" t="s">
        <v>553</v>
      </c>
      <c r="F13" s="181">
        <v>1.51226E-5</v>
      </c>
      <c r="G13" s="124" t="s">
        <v>596</v>
      </c>
    </row>
    <row r="14" spans="2:7">
      <c r="B14" s="124" t="s">
        <v>642</v>
      </c>
      <c r="C14" s="124">
        <f>'6 LCA'!E37/1000</f>
        <v>0.02</v>
      </c>
      <c r="D14" s="124" t="s">
        <v>6</v>
      </c>
      <c r="E14" s="124" t="s">
        <v>554</v>
      </c>
      <c r="F14" s="124">
        <v>4.7200000000000002E-3</v>
      </c>
      <c r="G14" s="124" t="s">
        <v>597</v>
      </c>
    </row>
    <row r="15" spans="2:7">
      <c r="B15" s="124" t="s">
        <v>652</v>
      </c>
      <c r="C15" s="124">
        <f>PI()*((C14/2)^2)*C12</f>
        <v>7.752798901212013E-2</v>
      </c>
      <c r="D15" s="124" t="s">
        <v>105</v>
      </c>
      <c r="E15" s="124" t="s">
        <v>555</v>
      </c>
      <c r="F15" s="181">
        <v>1.5065100000000001E-5</v>
      </c>
      <c r="G15" s="124" t="s">
        <v>598</v>
      </c>
    </row>
    <row r="16" spans="2:7">
      <c r="E16" s="124" t="s">
        <v>556</v>
      </c>
      <c r="F16" s="181">
        <v>3.7972899999999998E-9</v>
      </c>
      <c r="G16" s="124" t="s">
        <v>599</v>
      </c>
    </row>
    <row r="17" spans="5:7">
      <c r="E17" s="124" t="s">
        <v>557</v>
      </c>
      <c r="F17" s="181">
        <v>1.01398E-6</v>
      </c>
      <c r="G17" s="124" t="s">
        <v>600</v>
      </c>
    </row>
    <row r="18" spans="5:7">
      <c r="E18" s="124" t="s">
        <v>558</v>
      </c>
      <c r="F18" s="181">
        <v>1.8894300000000001E-6</v>
      </c>
      <c r="G18" s="124" t="s">
        <v>601</v>
      </c>
    </row>
    <row r="19" spans="5:7">
      <c r="E19" s="124" t="s">
        <v>559</v>
      </c>
      <c r="F19" s="181">
        <v>2.0546000000000002E-6</v>
      </c>
      <c r="G19" s="124" t="s">
        <v>601</v>
      </c>
    </row>
    <row r="20" spans="5:7">
      <c r="E20" s="124" t="s">
        <v>560</v>
      </c>
      <c r="F20" s="181">
        <v>1.3478E-5</v>
      </c>
      <c r="G20" s="124" t="s">
        <v>105</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C4573-00EC-477B-9046-E41AA98267BC}">
  <sheetPr codeName="Sheet17"/>
  <dimension ref="A1:O22"/>
  <sheetViews>
    <sheetView workbookViewId="0">
      <selection activeCell="J29" sqref="J29"/>
    </sheetView>
  </sheetViews>
  <sheetFormatPr baseColWidth="10" defaultColWidth="8.85546875" defaultRowHeight="15"/>
  <cols>
    <col min="1" max="1" width="16.42578125" style="124" customWidth="1"/>
    <col min="2" max="2" width="12" style="124" bestFit="1" customWidth="1"/>
    <col min="3" max="16384" width="8.85546875" style="124"/>
  </cols>
  <sheetData>
    <row r="1" spans="1:15">
      <c r="A1" s="124" t="s">
        <v>434</v>
      </c>
      <c r="E1" s="124" t="s">
        <v>437</v>
      </c>
      <c r="I1" s="124" t="s">
        <v>653</v>
      </c>
      <c r="O1" s="124" t="s">
        <v>654</v>
      </c>
    </row>
    <row r="2" spans="1:15">
      <c r="A2" s="124">
        <v>129.94999999999999</v>
      </c>
      <c r="B2" s="124" t="s">
        <v>655</v>
      </c>
      <c r="E2" s="124" t="s">
        <v>141</v>
      </c>
      <c r="F2" s="124">
        <v>500</v>
      </c>
      <c r="G2" s="124" t="s">
        <v>521</v>
      </c>
      <c r="I2" s="124" t="s">
        <v>656</v>
      </c>
      <c r="O2" s="124" t="s">
        <v>657</v>
      </c>
    </row>
    <row r="3" spans="1:15">
      <c r="E3" s="124" t="s">
        <v>141</v>
      </c>
      <c r="F3" s="124">
        <f>F2</f>
        <v>500</v>
      </c>
      <c r="G3" s="124" t="s">
        <v>413</v>
      </c>
      <c r="I3" s="124" t="s">
        <v>658</v>
      </c>
      <c r="J3" s="124">
        <f>VLOOKUP('6 LCA'!E13,Ecoboards!A2:E3,2,FALSE)</f>
        <v>0</v>
      </c>
      <c r="K3" s="124" t="s">
        <v>405</v>
      </c>
    </row>
    <row r="4" spans="1:15">
      <c r="A4" s="124" t="s">
        <v>659</v>
      </c>
      <c r="B4" s="124">
        <f>'6 LCA'!L38</f>
        <v>6</v>
      </c>
      <c r="E4" s="124" t="s">
        <v>660</v>
      </c>
      <c r="F4" s="124">
        <f>1.833*F3</f>
        <v>916.5</v>
      </c>
      <c r="G4" s="124" t="s">
        <v>661</v>
      </c>
      <c r="I4" s="124" t="s">
        <v>662</v>
      </c>
      <c r="J4" s="124">
        <f>VLOOKUP('6 LCA'!E13,Ecoboards!A2:E3,3,FALSE)</f>
        <v>0.59958</v>
      </c>
      <c r="K4" s="124" t="s">
        <v>405</v>
      </c>
    </row>
    <row r="5" spans="1:15">
      <c r="A5" s="124" t="s">
        <v>525</v>
      </c>
      <c r="B5" s="124">
        <f>2.4*2.4</f>
        <v>5.76</v>
      </c>
      <c r="E5" s="124" t="s">
        <v>663</v>
      </c>
      <c r="F5" s="124">
        <f>'6 LCA'!E26*'6 LCA'!E27</f>
        <v>0.78236928000000006</v>
      </c>
      <c r="I5" s="124" t="s">
        <v>22</v>
      </c>
      <c r="J5" s="124">
        <f>J3+J4</f>
        <v>0.59958</v>
      </c>
      <c r="K5" s="124" t="s">
        <v>405</v>
      </c>
    </row>
    <row r="6" spans="1:15">
      <c r="A6" s="124" t="s">
        <v>664</v>
      </c>
      <c r="B6" s="124">
        <f>B5*'6 LCA'!L37</f>
        <v>1.728</v>
      </c>
      <c r="E6" s="124" t="s">
        <v>665</v>
      </c>
      <c r="F6" s="124">
        <f>F5*F4</f>
        <v>717.04144512000005</v>
      </c>
      <c r="I6" s="124" t="s">
        <v>141</v>
      </c>
      <c r="J6" s="124">
        <f>VLOOKUP('6 LCA'!E13,Ecoboards!A2:E3,5,FALSE)</f>
        <v>1150</v>
      </c>
      <c r="K6" s="124" t="s">
        <v>521</v>
      </c>
    </row>
    <row r="7" spans="1:15">
      <c r="A7" s="124" t="s">
        <v>666</v>
      </c>
      <c r="B7" s="124">
        <f>(B4*B6)</f>
        <v>10.368</v>
      </c>
      <c r="I7" s="124" t="s">
        <v>667</v>
      </c>
      <c r="J7" s="124">
        <f>('6 LCA'!E14/1000)*'6 LCA'!E15*'6 LCA'!E16*'6 LCA'!E17</f>
        <v>0.67391999999999985</v>
      </c>
      <c r="K7" s="124" t="s">
        <v>105</v>
      </c>
    </row>
    <row r="8" spans="1:15">
      <c r="A8" s="124" t="s">
        <v>668</v>
      </c>
      <c r="B8" s="124">
        <f>IF('6 LCA'!E43="Yes",(('6 LCA'!E44/1000)*('6 LCA'!E45/1000)*'6 LCA'!L37),0)</f>
        <v>0.51206999999999991</v>
      </c>
      <c r="I8" s="124" t="s">
        <v>669</v>
      </c>
      <c r="J8" s="124">
        <f>J7*J6</f>
        <v>775.00799999999981</v>
      </c>
      <c r="K8" s="124" t="s">
        <v>413</v>
      </c>
    </row>
    <row r="9" spans="1:15">
      <c r="A9" s="124" t="s">
        <v>670</v>
      </c>
      <c r="B9" s="124">
        <f>IF('6 LCA'!E43="Yes",IF('6 LCA'!E47="Straw",(('6 LCA'!E44/1000)*('6 LCA'!E45/1000)*'6 LCA'!L37),0),0)</f>
        <v>0.51206999999999991</v>
      </c>
      <c r="I9" s="124" t="s">
        <v>671</v>
      </c>
      <c r="J9" s="124">
        <f>J8*J4</f>
        <v>464.6792966399999</v>
      </c>
      <c r="K9" s="124" t="s">
        <v>405</v>
      </c>
    </row>
    <row r="10" spans="1:15">
      <c r="A10" s="124" t="s">
        <v>672</v>
      </c>
      <c r="B10" s="124">
        <f>(B7-B8+B9)*A2</f>
        <v>1347.3216</v>
      </c>
      <c r="E10" s="124" t="s">
        <v>453</v>
      </c>
      <c r="I10" s="124" t="s">
        <v>673</v>
      </c>
      <c r="J10" s="124">
        <f>IF('6 LCA'!E13="Timber",-J3*J8,0)</f>
        <v>0</v>
      </c>
      <c r="K10" s="124" t="s">
        <v>405</v>
      </c>
    </row>
    <row r="11" spans="1:15">
      <c r="E11" s="124" t="s">
        <v>141</v>
      </c>
      <c r="F11" s="124">
        <v>400</v>
      </c>
      <c r="G11" s="124" t="s">
        <v>521</v>
      </c>
    </row>
    <row r="12" spans="1:15">
      <c r="E12" s="124" t="s">
        <v>666</v>
      </c>
      <c r="F12" s="124">
        <v>7.0000000000000007E-2</v>
      </c>
      <c r="G12" s="124" t="s">
        <v>105</v>
      </c>
    </row>
    <row r="13" spans="1:15">
      <c r="E13" s="124" t="s">
        <v>674</v>
      </c>
      <c r="F13" s="124">
        <f>F12*(F4*(F11/F2))</f>
        <v>51.324000000000005</v>
      </c>
      <c r="G13" s="124" t="s">
        <v>413</v>
      </c>
    </row>
    <row r="14" spans="1:15">
      <c r="C14" s="124" t="s">
        <v>521</v>
      </c>
    </row>
    <row r="15" spans="1:15">
      <c r="A15" s="124" t="s">
        <v>441</v>
      </c>
      <c r="C15" s="124" t="s">
        <v>403</v>
      </c>
    </row>
    <row r="16" spans="1:15">
      <c r="A16" s="124" t="s">
        <v>141</v>
      </c>
      <c r="B16" s="124">
        <v>0.65</v>
      </c>
      <c r="C16" s="124" t="s">
        <v>526</v>
      </c>
      <c r="E16" s="124" t="s">
        <v>539</v>
      </c>
    </row>
    <row r="17" spans="1:7">
      <c r="A17" s="124" t="s">
        <v>642</v>
      </c>
      <c r="B17" s="124">
        <f>'6 LCA'!E37</f>
        <v>20</v>
      </c>
      <c r="C17" s="124" t="s">
        <v>105</v>
      </c>
      <c r="E17" s="124" t="s">
        <v>675</v>
      </c>
      <c r="F17" s="124">
        <f>Output!N24</f>
        <v>1045.24992</v>
      </c>
      <c r="G17" s="124" t="s">
        <v>622</v>
      </c>
    </row>
    <row r="18" spans="1:7">
      <c r="A18" s="124" t="s">
        <v>676</v>
      </c>
      <c r="B18" s="124">
        <f>PI()*(((B17/1000)/2)^2)</f>
        <v>3.1415926535897931E-4</v>
      </c>
      <c r="C18" s="124" t="s">
        <v>413</v>
      </c>
    </row>
    <row r="19" spans="1:7">
      <c r="A19" s="124" t="s">
        <v>677</v>
      </c>
      <c r="B19" s="124">
        <f>B18*Bamboo!C12</f>
        <v>7.752798901212013E-2</v>
      </c>
      <c r="C19" s="124" t="s">
        <v>661</v>
      </c>
    </row>
    <row r="20" spans="1:7">
      <c r="A20" s="124" t="s">
        <v>484</v>
      </c>
      <c r="B20" s="124">
        <f>B19*B16</f>
        <v>5.0393192857878084E-2</v>
      </c>
      <c r="C20" s="124" t="s">
        <v>405</v>
      </c>
    </row>
    <row r="21" spans="1:7">
      <c r="A21" s="124" t="s">
        <v>678</v>
      </c>
      <c r="B21" s="124">
        <f>F4</f>
        <v>916.5</v>
      </c>
    </row>
    <row r="22" spans="1:7">
      <c r="A22" s="124" t="s">
        <v>673</v>
      </c>
      <c r="B22" s="124">
        <f>B21*B19</f>
        <v>71.054401929608105</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056D9-56CC-46DD-8DFA-ADF8CC3D0254}">
  <sheetPr codeName="Sheet18"/>
  <dimension ref="A1:N61"/>
  <sheetViews>
    <sheetView workbookViewId="0">
      <selection activeCell="B22" sqref="B22"/>
    </sheetView>
  </sheetViews>
  <sheetFormatPr baseColWidth="10" defaultColWidth="8.85546875" defaultRowHeight="15"/>
  <cols>
    <col min="1" max="1" width="102.5703125" style="124" bestFit="1" customWidth="1"/>
    <col min="2" max="2" width="14.7109375" style="124" bestFit="1" customWidth="1"/>
    <col min="3" max="3" width="15.7109375" style="124" bestFit="1" customWidth="1"/>
    <col min="4" max="4" width="15.7109375" style="124" customWidth="1"/>
    <col min="5" max="5" width="12" style="124" bestFit="1" customWidth="1"/>
    <col min="6" max="6" width="8.85546875" style="124"/>
    <col min="7" max="7" width="12" style="124" bestFit="1" customWidth="1"/>
    <col min="8" max="8" width="8.85546875" style="124"/>
    <col min="9" max="9" width="12" style="124" bestFit="1" customWidth="1"/>
    <col min="10" max="10" width="15.28515625" style="124" bestFit="1" customWidth="1"/>
    <col min="11" max="11" width="14.7109375" style="124" bestFit="1" customWidth="1"/>
    <col min="12" max="12" width="22.85546875" style="124" bestFit="1" customWidth="1"/>
    <col min="13" max="16384" width="8.85546875" style="124"/>
  </cols>
  <sheetData>
    <row r="1" spans="1:14">
      <c r="B1" s="124" t="s">
        <v>679</v>
      </c>
      <c r="C1" s="124" t="s">
        <v>680</v>
      </c>
      <c r="D1" s="124" t="s">
        <v>777</v>
      </c>
      <c r="E1" s="124" t="s">
        <v>681</v>
      </c>
      <c r="F1" s="124" t="s">
        <v>682</v>
      </c>
      <c r="G1" s="124" t="s">
        <v>683</v>
      </c>
      <c r="H1" s="124" t="s">
        <v>684</v>
      </c>
      <c r="I1" s="124" t="s">
        <v>685</v>
      </c>
      <c r="J1" s="124" t="s">
        <v>686</v>
      </c>
      <c r="K1" s="124" t="s">
        <v>687</v>
      </c>
      <c r="L1" s="124" t="s">
        <v>688</v>
      </c>
      <c r="N1" s="124" t="s">
        <v>689</v>
      </c>
    </row>
    <row r="2" spans="1:14">
      <c r="A2" s="124" t="s">
        <v>543</v>
      </c>
      <c r="B2" s="124">
        <f>HLOOKUP('6 LCA'!$S$19,Batteries!B$1:J$20,2,FALSE)</f>
        <v>1.7807299999999999</v>
      </c>
      <c r="C2" s="124">
        <f>B2*'6 LCA'!S$22</f>
        <v>5.3421899999999996</v>
      </c>
      <c r="D2" s="124">
        <f>C2*ROUNDUP(('6 LCA'!$E$7/'6 LCA'!$S$23),0)</f>
        <v>5.3421899999999996</v>
      </c>
      <c r="E2" s="124">
        <f>HLOOKUP('6 LCA'!$S$26,PV!B$1:E$20,2,FALSE)</f>
        <v>0.79844999999999999</v>
      </c>
      <c r="F2" s="124">
        <f>E2*'6 LCA'!T$65</f>
        <v>1.5518674199999998</v>
      </c>
      <c r="G2" s="124">
        <f>F2*'6 LCA'!S$29</f>
        <v>15.518674199999998</v>
      </c>
      <c r="H2" s="124">
        <f>G2*(ROUNDUP('6 LCA'!E$7/'6 LCA'!S$30,0))</f>
        <v>15.518674199999998</v>
      </c>
      <c r="I2" s="124">
        <f>HLOOKUP('6 LCA'!$L$22,Cooling!B$1:C$19,2,FALSE)</f>
        <v>0.65144000000000002</v>
      </c>
      <c r="J2" s="124">
        <f>I2/10*'6 LCA'!L$19</f>
        <v>0.65144000000000002</v>
      </c>
      <c r="K2" s="124">
        <f>J2*'6 LCA'!L$20</f>
        <v>3.9086400000000001</v>
      </c>
      <c r="L2" s="124">
        <f>K2*ROUNDUP('6 LCA'!E$7/'6 LCA'!L$26,0)</f>
        <v>7.8172800000000002</v>
      </c>
      <c r="N2" s="124">
        <f>D2+H2+L2</f>
        <v>28.678144199999998</v>
      </c>
    </row>
    <row r="3" spans="1:14">
      <c r="A3" s="124" t="s">
        <v>544</v>
      </c>
      <c r="B3" s="124">
        <f>HLOOKUP('6 LCA'!$S$19,Batteries!B$1:J$20,3,FALSE)</f>
        <v>148.94300000000001</v>
      </c>
      <c r="C3" s="124">
        <f>B3*'6 LCA'!S$22</f>
        <v>446.82900000000006</v>
      </c>
      <c r="D3" s="124">
        <f>C3*ROUNDUP(('6 LCA'!$E$7/'6 LCA'!$S$23),0)</f>
        <v>446.82900000000006</v>
      </c>
      <c r="E3" s="124">
        <f>HLOOKUP('6 LCA'!$S$26,PV!B$1:E$20,3,FALSE)</f>
        <v>140.73548251820816</v>
      </c>
      <c r="F3" s="124">
        <f>E3*'6 LCA'!T$65</f>
        <v>273.53348382238937</v>
      </c>
      <c r="G3" s="124">
        <f>F3*'6 LCA'!S$29</f>
        <v>2735.3348382238937</v>
      </c>
      <c r="H3" s="124">
        <f>G3*(ROUNDUP('6 LCA'!E$7/'6 LCA'!S$30,0))</f>
        <v>2735.3348382238937</v>
      </c>
      <c r="I3" s="124">
        <f>HLOOKUP('6 LCA'!$L$22,Cooling!B$1:C$19,3,FALSE)</f>
        <v>65.72551</v>
      </c>
      <c r="J3" s="124">
        <f>I3/10*'6 LCA'!L$19</f>
        <v>65.72551</v>
      </c>
      <c r="K3" s="124">
        <f>J3*'6 LCA'!L$20</f>
        <v>394.35306000000003</v>
      </c>
      <c r="L3" s="124">
        <f>K3*ROUNDUP('6 LCA'!E$7/'6 LCA'!L$26,0)</f>
        <v>788.70612000000006</v>
      </c>
      <c r="N3" s="124">
        <f t="shared" ref="N3:N19" si="0">D3+H3+L3</f>
        <v>3970.8699582238942</v>
      </c>
    </row>
    <row r="4" spans="1:14">
      <c r="A4" s="124" t="s">
        <v>545</v>
      </c>
      <c r="B4" s="124">
        <f>HLOOKUP('6 LCA'!$S$19,Batteries!B$1:J$20,4,FALSE)</f>
        <v>72.363100000000003</v>
      </c>
      <c r="C4" s="124">
        <f>B4*'6 LCA'!S$22</f>
        <v>217.08930000000001</v>
      </c>
      <c r="D4" s="124">
        <f>C4*ROUNDUP(('6 LCA'!$E$7/'6 LCA'!$S$23),0)</f>
        <v>217.08930000000001</v>
      </c>
      <c r="E4" s="124">
        <f>HLOOKUP('6 LCA'!$S$26,PV!B$1:E$20,4,FALSE)</f>
        <v>19.89312</v>
      </c>
      <c r="F4" s="124">
        <f>E4*'6 LCA'!T$65</f>
        <v>38.664268031999995</v>
      </c>
      <c r="G4" s="124">
        <f>F4*'6 LCA'!S$29</f>
        <v>386.64268031999995</v>
      </c>
      <c r="H4" s="124">
        <f>G4*(ROUNDUP('6 LCA'!E$7/'6 LCA'!S$30,0))</f>
        <v>386.64268031999995</v>
      </c>
      <c r="I4" s="124">
        <f>HLOOKUP('6 LCA'!$L$22,Cooling!B$1:C$19,4,FALSE)</f>
        <v>128.5376</v>
      </c>
      <c r="J4" s="124">
        <f>I4/10*'6 LCA'!L$19</f>
        <v>128.5376</v>
      </c>
      <c r="K4" s="124">
        <f>J4*'6 LCA'!L$20</f>
        <v>771.22559999999999</v>
      </c>
      <c r="L4" s="124">
        <f>K4*ROUNDUP('6 LCA'!E$7/'6 LCA'!L$26,0)</f>
        <v>1542.4512</v>
      </c>
      <c r="N4" s="124">
        <f t="shared" si="0"/>
        <v>2146.1831803199998</v>
      </c>
    </row>
    <row r="5" spans="1:14">
      <c r="A5" s="124" t="s">
        <v>546</v>
      </c>
      <c r="B5" s="124">
        <f>HLOOKUP('6 LCA'!$S$19,Batteries!B$1:J$20,5,FALSE)</f>
        <v>94.201899999999995</v>
      </c>
      <c r="C5" s="124">
        <f>B5*'6 LCA'!S$22</f>
        <v>282.60569999999996</v>
      </c>
      <c r="D5" s="124">
        <f>C5*ROUNDUP(('6 LCA'!$E$7/'6 LCA'!$S$23),0)</f>
        <v>282.60569999999996</v>
      </c>
      <c r="E5" s="124">
        <f>HLOOKUP('6 LCA'!$S$26,PV!B$1:E$20,5,FALSE)</f>
        <v>29.551659999999998</v>
      </c>
      <c r="F5" s="124">
        <f>E5*'6 LCA'!T$65</f>
        <v>57.436606375999993</v>
      </c>
      <c r="G5" s="124">
        <f>F5*'6 LCA'!S$29</f>
        <v>574.36606375999997</v>
      </c>
      <c r="H5" s="124">
        <f>G5*(ROUNDUP('6 LCA'!E$7/'6 LCA'!S$30,0))</f>
        <v>574.36606375999997</v>
      </c>
      <c r="I5" s="124">
        <f>HLOOKUP('6 LCA'!$L$22,Cooling!B$1:C$19,5,FALSE)</f>
        <v>160.46919</v>
      </c>
      <c r="J5" s="124">
        <f>I5/10*'6 LCA'!L$19</f>
        <v>160.46919</v>
      </c>
      <c r="K5" s="124">
        <f>J5*'6 LCA'!L$20</f>
        <v>962.81513999999993</v>
      </c>
      <c r="L5" s="124">
        <f>K5*ROUNDUP('6 LCA'!E$7/'6 LCA'!L$26,0)</f>
        <v>1925.6302799999999</v>
      </c>
      <c r="N5" s="124">
        <f t="shared" si="0"/>
        <v>2782.60204376</v>
      </c>
    </row>
    <row r="6" spans="1:14">
      <c r="A6" s="124" t="s">
        <v>547</v>
      </c>
      <c r="B6" s="124">
        <f>HLOOKUP('6 LCA'!$S$19,Batteries!B$1:J$20,6,FALSE)</f>
        <v>5720.94</v>
      </c>
      <c r="C6" s="124">
        <f>B6*'6 LCA'!S$22</f>
        <v>17162.82</v>
      </c>
      <c r="D6" s="124">
        <f>C6*ROUNDUP(('6 LCA'!$E$7/'6 LCA'!$S$23),0)</f>
        <v>17162.82</v>
      </c>
      <c r="E6" s="124">
        <f>HLOOKUP('6 LCA'!$S$26,PV!B$1:E$20,6,FALSE)</f>
        <v>5736.1453000000001</v>
      </c>
      <c r="F6" s="124">
        <f>E6*'6 LCA'!T$65</f>
        <v>11148.772005079998</v>
      </c>
      <c r="G6" s="124">
        <f>F6*'6 LCA'!S$29</f>
        <v>111487.72005079998</v>
      </c>
      <c r="H6" s="124">
        <f>G6*(ROUNDUP('6 LCA'!E$7/'6 LCA'!S$30,0))</f>
        <v>111487.72005079998</v>
      </c>
      <c r="I6" s="124">
        <f>HLOOKUP('6 LCA'!$L$22,Cooling!B$1:C$19,6,FALSE)</f>
        <v>2295.68759</v>
      </c>
      <c r="J6" s="124">
        <f>I6/10*'6 LCA'!L$19</f>
        <v>2295.68759</v>
      </c>
      <c r="K6" s="124">
        <f>J6*'6 LCA'!L$20</f>
        <v>13774.125540000001</v>
      </c>
      <c r="L6" s="124">
        <f>K6*ROUNDUP('6 LCA'!E$7/'6 LCA'!L$26,0)</f>
        <v>27548.251080000002</v>
      </c>
      <c r="N6" s="124">
        <f t="shared" si="0"/>
        <v>156198.79113079997</v>
      </c>
    </row>
    <row r="7" spans="1:14">
      <c r="A7" s="124" t="s">
        <v>548</v>
      </c>
      <c r="B7" s="124">
        <f>HLOOKUP('6 LCA'!$S$19,Batteries!B$1:J$20,7,FALSE)</f>
        <v>39.574199999999998</v>
      </c>
      <c r="C7" s="124">
        <f>B7*'6 LCA'!S$22</f>
        <v>118.7226</v>
      </c>
      <c r="D7" s="124">
        <f>C7*ROUNDUP(('6 LCA'!$E$7/'6 LCA'!$S$23),0)</f>
        <v>118.7226</v>
      </c>
      <c r="E7" s="124">
        <f>HLOOKUP('6 LCA'!$S$26,PV!B$1:E$20,7,FALSE)</f>
        <v>58.105440000000002</v>
      </c>
      <c r="F7" s="124">
        <f>E7*'6 LCA'!T$65</f>
        <v>112.93373318399999</v>
      </c>
      <c r="G7" s="124">
        <f>F7*'6 LCA'!S$29</f>
        <v>1129.3373318399999</v>
      </c>
      <c r="H7" s="124">
        <f>G7*(ROUNDUP('6 LCA'!E$7/'6 LCA'!S$30,0))</f>
        <v>1129.3373318399999</v>
      </c>
      <c r="I7" s="124">
        <f>HLOOKUP('6 LCA'!$L$22,Cooling!B$1:C$19,7,FALSE)</f>
        <v>15.607670000000001</v>
      </c>
      <c r="J7" s="124">
        <f>I7/10*'6 LCA'!L$19</f>
        <v>15.607670000000001</v>
      </c>
      <c r="K7" s="124">
        <f>J7*'6 LCA'!L$20</f>
        <v>93.646020000000007</v>
      </c>
      <c r="L7" s="124">
        <f>K7*ROUNDUP('6 LCA'!E$7/'6 LCA'!L$26,0)</f>
        <v>187.29204000000001</v>
      </c>
      <c r="N7" s="124">
        <f t="shared" si="0"/>
        <v>1435.35197184</v>
      </c>
    </row>
    <row r="8" spans="1:14">
      <c r="A8" s="124" t="s">
        <v>549</v>
      </c>
      <c r="B8" s="124">
        <f>HLOOKUP('6 LCA'!$S$19,Batteries!B$1:J$20,8,FALSE)</f>
        <v>0.13671800000000001</v>
      </c>
      <c r="C8" s="124">
        <f>B8*'6 LCA'!S$22</f>
        <v>0.41015400000000002</v>
      </c>
      <c r="D8" s="124">
        <f>C8*ROUNDUP(('6 LCA'!$E$7/'6 LCA'!$S$23),0)</f>
        <v>0.41015400000000002</v>
      </c>
      <c r="E8" s="124">
        <f>HLOOKUP('6 LCA'!$S$26,PV!B$1:E$20,8,FALSE)</f>
        <v>0.10272000000000001</v>
      </c>
      <c r="F8" s="124">
        <f>E8*'6 LCA'!T$65</f>
        <v>0.19964659199999998</v>
      </c>
      <c r="G8" s="124">
        <f>F8*'6 LCA'!S$29</f>
        <v>1.9964659199999999</v>
      </c>
      <c r="H8" s="124">
        <f>G8*(ROUNDUP('6 LCA'!E$7/'6 LCA'!S$30,0))</f>
        <v>1.9964659199999999</v>
      </c>
      <c r="I8" s="124">
        <f>HLOOKUP('6 LCA'!$L$22,Cooling!B$1:C$19,8,FALSE)</f>
        <v>0.16922999999999999</v>
      </c>
      <c r="J8" s="124">
        <f>I8/10*'6 LCA'!L$19</f>
        <v>0.16922999999999999</v>
      </c>
      <c r="K8" s="124">
        <f>J8*'6 LCA'!L$20</f>
        <v>1.0153799999999999</v>
      </c>
      <c r="L8" s="124">
        <f>K8*ROUNDUP('6 LCA'!E$7/'6 LCA'!L$26,0)</f>
        <v>2.0307599999999999</v>
      </c>
      <c r="N8" s="124">
        <f t="shared" si="0"/>
        <v>4.4373799199999997</v>
      </c>
    </row>
    <row r="9" spans="1:14">
      <c r="A9" s="124" t="s">
        <v>550</v>
      </c>
      <c r="B9" s="124">
        <f>HLOOKUP('6 LCA'!$S$19,Batteries!B$1:J$20,9,FALSE)</f>
        <v>1.4245000000000001E-2</v>
      </c>
      <c r="C9" s="124">
        <f>B9*'6 LCA'!S$22</f>
        <v>4.2735000000000002E-2</v>
      </c>
      <c r="D9" s="124">
        <f>C9*ROUNDUP(('6 LCA'!$E$7/'6 LCA'!$S$23),0)</f>
        <v>4.2735000000000002E-2</v>
      </c>
      <c r="E9" s="124">
        <f>HLOOKUP('6 LCA'!$S$26,PV!B$1:E$20,9,FALSE)</f>
        <v>2.0729999999999998E-2</v>
      </c>
      <c r="F9" s="124">
        <f>E9*'6 LCA'!T$65</f>
        <v>4.0290827999999994E-2</v>
      </c>
      <c r="G9" s="124">
        <f>F9*'6 LCA'!S$29</f>
        <v>0.40290827999999995</v>
      </c>
      <c r="H9" s="124">
        <f>G9*(ROUNDUP('6 LCA'!E$7/'6 LCA'!S$30,0))</f>
        <v>0.40290827999999995</v>
      </c>
      <c r="I9" s="124">
        <f>HLOOKUP('6 LCA'!$L$22,Cooling!B$1:C$19,9,FALSE)</f>
        <v>3.9300000000000003E-3</v>
      </c>
      <c r="J9" s="124">
        <f>I9/10*'6 LCA'!L$19</f>
        <v>3.9300000000000003E-3</v>
      </c>
      <c r="K9" s="124">
        <f>J9*'6 LCA'!L$20</f>
        <v>2.3580000000000004E-2</v>
      </c>
      <c r="L9" s="124">
        <f>K9*ROUNDUP('6 LCA'!E$7/'6 LCA'!L$26,0)</f>
        <v>4.7160000000000007E-2</v>
      </c>
      <c r="N9" s="124">
        <f t="shared" si="0"/>
        <v>0.49280327999999995</v>
      </c>
    </row>
    <row r="10" spans="1:14">
      <c r="A10" s="124" t="s">
        <v>551</v>
      </c>
      <c r="B10" s="124">
        <f>HLOOKUP('6 LCA'!$S$19,Batteries!B$1:J$20,10,FALSE)</f>
        <v>27.3232</v>
      </c>
      <c r="C10" s="124">
        <f>B10*'6 LCA'!S$22</f>
        <v>81.9696</v>
      </c>
      <c r="D10" s="124">
        <f>C10*ROUNDUP(('6 LCA'!$E$7/'6 LCA'!$S$23),0)</f>
        <v>81.9696</v>
      </c>
      <c r="E10" s="124">
        <f>HLOOKUP('6 LCA'!$S$26,PV!B$1:E$20,10,FALSE)</f>
        <v>19.642869999999998</v>
      </c>
      <c r="F10" s="124">
        <f>E10*'6 LCA'!T$65</f>
        <v>38.177882131999993</v>
      </c>
      <c r="G10" s="124">
        <f>F10*'6 LCA'!S$29</f>
        <v>381.77882131999991</v>
      </c>
      <c r="H10" s="124">
        <f>G10*(ROUNDUP('6 LCA'!E$7/'6 LCA'!S$30,0))</f>
        <v>381.77882131999991</v>
      </c>
      <c r="I10" s="124">
        <f>HLOOKUP('6 LCA'!$L$22,Cooling!B$1:C$19,10,FALSE)</f>
        <v>34.581479999999999</v>
      </c>
      <c r="J10" s="124">
        <f>I10/10*'6 LCA'!L$19</f>
        <v>34.581479999999999</v>
      </c>
      <c r="K10" s="124">
        <f>J10*'6 LCA'!L$20</f>
        <v>207.48887999999999</v>
      </c>
      <c r="L10" s="124">
        <f>K10*ROUNDUP('6 LCA'!E$7/'6 LCA'!L$26,0)</f>
        <v>414.97775999999999</v>
      </c>
      <c r="N10" s="124">
        <f t="shared" si="0"/>
        <v>878.72618131999991</v>
      </c>
    </row>
    <row r="11" spans="1:14">
      <c r="A11" s="124" t="s">
        <v>552</v>
      </c>
      <c r="B11" s="124">
        <f>HLOOKUP('6 LCA'!$S$19,Batteries!B$1:J$20,11,FALSE)</f>
        <v>1166.99</v>
      </c>
      <c r="C11" s="124">
        <f>B11*'6 LCA'!S$22</f>
        <v>3500.9700000000003</v>
      </c>
      <c r="D11" s="124">
        <f>C11*ROUNDUP(('6 LCA'!$E$7/'6 LCA'!$S$23),0)</f>
        <v>3500.9700000000003</v>
      </c>
      <c r="E11" s="124">
        <f>HLOOKUP('6 LCA'!$S$26,PV!B$1:E$20,11,FALSE)</f>
        <v>435.42536999999999</v>
      </c>
      <c r="F11" s="124">
        <f>E11*'6 LCA'!T$65</f>
        <v>846.29274913199993</v>
      </c>
      <c r="G11" s="124">
        <f>F11*'6 LCA'!S$29</f>
        <v>8462.9274913199988</v>
      </c>
      <c r="H11" s="124">
        <f>G11*(ROUNDUP('6 LCA'!E$7/'6 LCA'!S$30,0))</f>
        <v>8462.9274913199988</v>
      </c>
      <c r="I11" s="124">
        <f>HLOOKUP('6 LCA'!$L$22,Cooling!B$1:C$19,11,FALSE)</f>
        <v>1333.68676</v>
      </c>
      <c r="J11" s="124">
        <f>I11/10*'6 LCA'!L$19</f>
        <v>1333.68676</v>
      </c>
      <c r="K11" s="124">
        <f>J11*'6 LCA'!L$20</f>
        <v>8002.1205600000003</v>
      </c>
      <c r="L11" s="124">
        <f>K11*ROUNDUP('6 LCA'!E$7/'6 LCA'!L$26,0)</f>
        <v>16004.241120000001</v>
      </c>
      <c r="N11" s="124">
        <f t="shared" si="0"/>
        <v>27968.138611319999</v>
      </c>
    </row>
    <row r="12" spans="1:14">
      <c r="A12" s="124" t="s">
        <v>553</v>
      </c>
      <c r="B12" s="124">
        <f>HLOOKUP('6 LCA'!$S$19,Batteries!B$1:J$20,12,FALSE)</f>
        <v>7.2247000000000003</v>
      </c>
      <c r="C12" s="124">
        <f>B12*'6 LCA'!S$22</f>
        <v>21.674100000000003</v>
      </c>
      <c r="D12" s="124">
        <f>C12*ROUNDUP(('6 LCA'!$E$7/'6 LCA'!$S$23),0)</f>
        <v>21.674100000000003</v>
      </c>
      <c r="E12" s="124">
        <f>HLOOKUP('6 LCA'!$S$26,PV!B$1:E$20,12,FALSE)</f>
        <v>17.94472</v>
      </c>
      <c r="F12" s="124">
        <f>E12*'6 LCA'!T$65</f>
        <v>34.877357791999998</v>
      </c>
      <c r="G12" s="124">
        <f>F12*'6 LCA'!S$29</f>
        <v>348.77357791999998</v>
      </c>
      <c r="H12" s="124">
        <f>G12*(ROUNDUP('6 LCA'!E$7/'6 LCA'!S$30,0))</f>
        <v>348.77357791999998</v>
      </c>
      <c r="I12" s="124">
        <f>HLOOKUP('6 LCA'!$L$22,Cooling!B$1:C$19,12,FALSE)</f>
        <v>1.96021</v>
      </c>
      <c r="J12" s="124">
        <f>I12/10*'6 LCA'!L$19</f>
        <v>1.96021</v>
      </c>
      <c r="K12" s="124">
        <f>J12*'6 LCA'!L$20</f>
        <v>11.76126</v>
      </c>
      <c r="L12" s="124">
        <f>K12*ROUNDUP('6 LCA'!E$7/'6 LCA'!L$26,0)</f>
        <v>23.52252</v>
      </c>
      <c r="N12" s="124">
        <f t="shared" si="0"/>
        <v>393.97019791999998</v>
      </c>
    </row>
    <row r="13" spans="1:14">
      <c r="A13" s="124" t="s">
        <v>554</v>
      </c>
      <c r="B13" s="124">
        <f>HLOOKUP('6 LCA'!$S$19,Batteries!B$1:J$20,13,FALSE)</f>
        <v>6.45953</v>
      </c>
      <c r="C13" s="124">
        <f>B13*'6 LCA'!S$22</f>
        <v>19.378589999999999</v>
      </c>
      <c r="D13" s="124">
        <f>C13*ROUNDUP(('6 LCA'!$E$7/'6 LCA'!$S$23),0)</f>
        <v>19.378589999999999</v>
      </c>
      <c r="E13" s="124">
        <f>HLOOKUP('6 LCA'!$S$26,PV!B$1:E$20,13,FALSE)</f>
        <v>6.0125099999999998</v>
      </c>
      <c r="F13" s="124">
        <f>E13*'6 LCA'!T$65</f>
        <v>11.685914435999997</v>
      </c>
      <c r="G13" s="124">
        <f>F13*'6 LCA'!S$29</f>
        <v>116.85914435999997</v>
      </c>
      <c r="H13" s="124">
        <f>G13*(ROUNDUP('6 LCA'!E$7/'6 LCA'!S$30,0))</f>
        <v>116.85914435999997</v>
      </c>
      <c r="I13" s="124">
        <f>HLOOKUP('6 LCA'!$L$22,Cooling!B$1:C$19,13,FALSE)</f>
        <v>2.274</v>
      </c>
      <c r="J13" s="124">
        <f>I13/10*'6 LCA'!L$19</f>
        <v>2.274</v>
      </c>
      <c r="K13" s="124">
        <f>J13*'6 LCA'!L$20</f>
        <v>13.644</v>
      </c>
      <c r="L13" s="124">
        <f>K13*ROUNDUP('6 LCA'!E$7/'6 LCA'!L$26,0)</f>
        <v>27.288</v>
      </c>
      <c r="N13" s="124">
        <f t="shared" si="0"/>
        <v>163.52573435999997</v>
      </c>
    </row>
    <row r="14" spans="1:14">
      <c r="A14" s="124" t="s">
        <v>555</v>
      </c>
      <c r="B14" s="124">
        <f>HLOOKUP('6 LCA'!$S$19,Batteries!B$1:J$20,14,FALSE)</f>
        <v>54.660699999999999</v>
      </c>
      <c r="C14" s="124">
        <f>B14*'6 LCA'!S$22</f>
        <v>163.9821</v>
      </c>
      <c r="D14" s="124">
        <f>C14*ROUNDUP(('6 LCA'!$E$7/'6 LCA'!$S$23),0)</f>
        <v>163.9821</v>
      </c>
      <c r="E14" s="124">
        <f>HLOOKUP('6 LCA'!$S$26,PV!B$1:E$20,14,FALSE)</f>
        <v>5.3038100000000004</v>
      </c>
      <c r="F14" s="124">
        <f>E14*'6 LCA'!T$65</f>
        <v>10.308485116</v>
      </c>
      <c r="G14" s="124">
        <f>F14*'6 LCA'!S$29</f>
        <v>103.08485116</v>
      </c>
      <c r="H14" s="124">
        <f>G14*(ROUNDUP('6 LCA'!E$7/'6 LCA'!S$30,0))</f>
        <v>103.08485116</v>
      </c>
      <c r="I14" s="124">
        <f>HLOOKUP('6 LCA'!$L$22,Cooling!B$1:C$19,14,FALSE)</f>
        <v>4.9422300000000003</v>
      </c>
      <c r="J14" s="124">
        <f>I14/10*'6 LCA'!L$19</f>
        <v>4.9422300000000003</v>
      </c>
      <c r="K14" s="124">
        <f>J14*'6 LCA'!L$20</f>
        <v>29.653380000000002</v>
      </c>
      <c r="L14" s="124">
        <f>K14*ROUNDUP('6 LCA'!E$7/'6 LCA'!L$26,0)</f>
        <v>59.306760000000004</v>
      </c>
      <c r="N14" s="124">
        <f t="shared" si="0"/>
        <v>326.37371116000003</v>
      </c>
    </row>
    <row r="15" spans="1:14">
      <c r="A15" s="124" t="s">
        <v>556</v>
      </c>
      <c r="B15" s="124">
        <f>HLOOKUP('6 LCA'!$S$19,Batteries!B$1:J$20,15,FALSE)</f>
        <v>5.2803899999999998E-5</v>
      </c>
      <c r="C15" s="124">
        <f>B15*'6 LCA'!S$22</f>
        <v>1.5841169999999998E-4</v>
      </c>
      <c r="D15" s="124">
        <f>C15*ROUNDUP(('6 LCA'!$E$7/'6 LCA'!$S$23),0)</f>
        <v>1.5841169999999998E-4</v>
      </c>
      <c r="E15" s="124">
        <f>HLOOKUP('6 LCA'!$S$26,PV!B$1:E$20,15,FALSE)</f>
        <v>9.0792100000000001E-5</v>
      </c>
      <c r="F15" s="124">
        <f>E15*'6 LCA'!T$65</f>
        <v>1.7646352555999997E-4</v>
      </c>
      <c r="G15" s="124">
        <f>F15*'6 LCA'!S$29</f>
        <v>1.7646352555999998E-3</v>
      </c>
      <c r="H15" s="124">
        <f>G15*(ROUNDUP('6 LCA'!E$7/'6 LCA'!S$30,0))</f>
        <v>1.7646352555999998E-3</v>
      </c>
      <c r="I15" s="124">
        <f>HLOOKUP('6 LCA'!$L$22,Cooling!B$1:C$19,15,FALSE)</f>
        <v>3.0927099999999997E-5</v>
      </c>
      <c r="J15" s="124">
        <f>I15/10*'6 LCA'!L$19</f>
        <v>3.0927099999999997E-5</v>
      </c>
      <c r="K15" s="124">
        <f>J15*'6 LCA'!L$20</f>
        <v>1.855626E-4</v>
      </c>
      <c r="L15" s="124">
        <f>K15*ROUNDUP('6 LCA'!E$7/'6 LCA'!L$26,0)</f>
        <v>3.711252E-4</v>
      </c>
      <c r="N15" s="124">
        <f t="shared" si="0"/>
        <v>2.2941721555999996E-3</v>
      </c>
    </row>
    <row r="16" spans="1:14">
      <c r="A16" s="124" t="s">
        <v>557</v>
      </c>
      <c r="B16" s="124">
        <f>HLOOKUP('6 LCA'!$S$19,Batteries!B$1:J$20,16,FALSE)</f>
        <v>0.55391599999999996</v>
      </c>
      <c r="C16" s="124">
        <f>B16*'6 LCA'!S$22</f>
        <v>1.6617479999999998</v>
      </c>
      <c r="D16" s="124">
        <f>C16*ROUNDUP(('6 LCA'!$E$7/'6 LCA'!$S$23),0)</f>
        <v>1.6617479999999998</v>
      </c>
      <c r="E16" s="124">
        <f>HLOOKUP('6 LCA'!$S$26,PV!B$1:E$20,16,FALSE)</f>
        <v>0.41123999999999999</v>
      </c>
      <c r="F16" s="124">
        <f>E16*'6 LCA'!T$65</f>
        <v>0.79928606399999991</v>
      </c>
      <c r="G16" s="124">
        <f>F16*'6 LCA'!S$29</f>
        <v>7.9928606399999991</v>
      </c>
      <c r="H16" s="124">
        <f>G16*(ROUNDUP('6 LCA'!E$7/'6 LCA'!S$30,0))</f>
        <v>7.9928606399999991</v>
      </c>
      <c r="I16" s="124">
        <f>HLOOKUP('6 LCA'!$L$22,Cooling!B$1:C$19,16,FALSE)</f>
        <v>0.23243</v>
      </c>
      <c r="J16" s="124">
        <f>I16/10*'6 LCA'!L$19</f>
        <v>0.23243</v>
      </c>
      <c r="K16" s="124">
        <f>J16*'6 LCA'!L$20</f>
        <v>1.3945799999999999</v>
      </c>
      <c r="L16" s="124">
        <f>K16*ROUNDUP('6 LCA'!E$7/'6 LCA'!L$26,0)</f>
        <v>2.7891599999999999</v>
      </c>
      <c r="N16" s="124">
        <f t="shared" si="0"/>
        <v>12.443768639999998</v>
      </c>
    </row>
    <row r="17" spans="1:14">
      <c r="A17" s="124" t="s">
        <v>558</v>
      </c>
      <c r="B17" s="124">
        <f>HLOOKUP('6 LCA'!$S$19,Batteries!B$1:J$20,17,FALSE)</f>
        <v>0.48594500000000002</v>
      </c>
      <c r="C17" s="124">
        <f>B17*'6 LCA'!S$22</f>
        <v>1.457835</v>
      </c>
      <c r="D17" s="124">
        <f>C17*ROUNDUP(('6 LCA'!$E$7/'6 LCA'!$S$23),0)</f>
        <v>1.457835</v>
      </c>
      <c r="E17" s="124">
        <f>HLOOKUP('6 LCA'!$S$26,PV!B$1:E$20,17,FALSE)</f>
        <v>0.57208000000000003</v>
      </c>
      <c r="F17" s="124">
        <f>E17*'6 LCA'!T$65</f>
        <v>1.111894688</v>
      </c>
      <c r="G17" s="124">
        <f>F17*'6 LCA'!S$29</f>
        <v>11.118946879999999</v>
      </c>
      <c r="H17" s="124">
        <f>G17*(ROUNDUP('6 LCA'!E$7/'6 LCA'!S$30,0))</f>
        <v>11.118946879999999</v>
      </c>
      <c r="I17" s="124">
        <f>HLOOKUP('6 LCA'!$L$22,Cooling!B$1:C$19,17,FALSE)</f>
        <v>0.32027</v>
      </c>
      <c r="J17" s="124">
        <f>I17/10*'6 LCA'!L$19</f>
        <v>0.32027</v>
      </c>
      <c r="K17" s="124">
        <f>J17*'6 LCA'!L$20</f>
        <v>1.9216199999999999</v>
      </c>
      <c r="L17" s="124">
        <f>K17*ROUNDUP('6 LCA'!E$7/'6 LCA'!L$26,0)</f>
        <v>3.8432399999999998</v>
      </c>
      <c r="N17" s="124">
        <f t="shared" si="0"/>
        <v>16.42002188</v>
      </c>
    </row>
    <row r="18" spans="1:14">
      <c r="A18" s="124" t="s">
        <v>559</v>
      </c>
      <c r="B18" s="124">
        <f>HLOOKUP('6 LCA'!$S$19,Batteries!B$1:J$20,18,FALSE)</f>
        <v>0.50819000000000003</v>
      </c>
      <c r="C18" s="124">
        <f>B18*'6 LCA'!S$22</f>
        <v>1.5245700000000002</v>
      </c>
      <c r="D18" s="124">
        <f>C18*ROUNDUP(('6 LCA'!$E$7/'6 LCA'!$S$23),0)</f>
        <v>1.5245700000000002</v>
      </c>
      <c r="E18" s="124">
        <f>HLOOKUP('6 LCA'!$S$26,PV!B$1:E$20,18,FALSE)</f>
        <v>0.60943999999999998</v>
      </c>
      <c r="F18" s="124">
        <f>E18*'6 LCA'!T$65</f>
        <v>1.1845075839999999</v>
      </c>
      <c r="G18" s="124">
        <f>F18*'6 LCA'!S$29</f>
        <v>11.84507584</v>
      </c>
      <c r="H18" s="124">
        <f>G18*(ROUNDUP('6 LCA'!E$7/'6 LCA'!S$30,0))</f>
        <v>11.84507584</v>
      </c>
      <c r="I18" s="124">
        <f>HLOOKUP('6 LCA'!$L$22,Cooling!B$1:C$19,18,FALSE)</f>
        <v>0.32806000000000002</v>
      </c>
      <c r="J18" s="124">
        <f>I18/10*'6 LCA'!L$19</f>
        <v>0.32806000000000002</v>
      </c>
      <c r="K18" s="124">
        <f>J18*'6 LCA'!L$20</f>
        <v>1.9683600000000001</v>
      </c>
      <c r="L18" s="124">
        <f>K18*ROUNDUP('6 LCA'!E$7/'6 LCA'!L$26,0)</f>
        <v>3.9367200000000002</v>
      </c>
      <c r="N18" s="124">
        <f t="shared" si="0"/>
        <v>17.306365840000002</v>
      </c>
    </row>
    <row r="19" spans="1:14">
      <c r="A19" s="124" t="s">
        <v>560</v>
      </c>
      <c r="B19" s="124">
        <f>HLOOKUP('6 LCA'!$S$19,Batteries!B$1:J$20,19,FALSE)</f>
        <v>1.2875799999999999</v>
      </c>
      <c r="C19" s="124">
        <f>B19*'6 LCA'!S$22</f>
        <v>3.8627399999999996</v>
      </c>
      <c r="D19" s="124">
        <f>C19*ROUNDUP(('6 LCA'!$E$7/'6 LCA'!$S$23),0)</f>
        <v>3.8627399999999996</v>
      </c>
      <c r="E19" s="124">
        <f>HLOOKUP('6 LCA'!$S$26,PV!B$1:E$20,19,FALSE)</f>
        <v>9.6242900000000002</v>
      </c>
      <c r="F19" s="124">
        <f>E19*'6 LCA'!T$65</f>
        <v>18.705770043999998</v>
      </c>
      <c r="G19" s="124">
        <f>F19*'6 LCA'!S$29</f>
        <v>187.05770043999996</v>
      </c>
      <c r="H19" s="124">
        <f>G19*(ROUNDUP('6 LCA'!E$7/'6 LCA'!S$30,0))</f>
        <v>187.05770043999996</v>
      </c>
      <c r="I19" s="124">
        <f>HLOOKUP('6 LCA'!$L$22,Cooling!B$1:C$19,19,FALSE)</f>
        <v>0.89854999999999996</v>
      </c>
      <c r="J19" s="124">
        <f>I19/10*'6 LCA'!L$19</f>
        <v>0.89854999999999996</v>
      </c>
      <c r="K19" s="124">
        <f>J19*'6 LCA'!L$20</f>
        <v>5.3912999999999993</v>
      </c>
      <c r="L19" s="124">
        <f>K19*ROUNDUP('6 LCA'!E$7/'6 LCA'!L$26,0)</f>
        <v>10.782599999999999</v>
      </c>
      <c r="N19" s="124">
        <f t="shared" si="0"/>
        <v>201.70304043999997</v>
      </c>
    </row>
    <row r="22" spans="1:14">
      <c r="B22" s="124" t="s">
        <v>690</v>
      </c>
      <c r="C22" s="124" t="s">
        <v>691</v>
      </c>
      <c r="D22" s="124" t="s">
        <v>692</v>
      </c>
      <c r="E22" s="124" t="s">
        <v>693</v>
      </c>
      <c r="F22" s="124" t="s">
        <v>694</v>
      </c>
      <c r="G22" s="124" t="s">
        <v>695</v>
      </c>
      <c r="H22" s="124" t="s">
        <v>696</v>
      </c>
      <c r="I22" s="124" t="s">
        <v>697</v>
      </c>
      <c r="J22" s="124" t="s">
        <v>698</v>
      </c>
      <c r="K22" s="124" t="s">
        <v>699</v>
      </c>
      <c r="L22" s="124" t="s">
        <v>700</v>
      </c>
      <c r="M22" s="124" t="s">
        <v>701</v>
      </c>
      <c r="N22" s="124" t="s">
        <v>702</v>
      </c>
    </row>
    <row r="23" spans="1:14">
      <c r="A23" s="124" t="s">
        <v>543</v>
      </c>
      <c r="B23" s="124">
        <f>HLOOKUP('6 LCA'!$E$19,Foundations!B$1:I$20,2,FALSE)</f>
        <v>0.13599</v>
      </c>
      <c r="C23" s="124">
        <f>B23*'6 LCA'!C$64</f>
        <v>0.13768987500000002</v>
      </c>
      <c r="D23" s="124">
        <f>C23*'6 LCA'!E$24+('6 LCA'!$E$25*Foundations!D2)</f>
        <v>1.2720688762305672</v>
      </c>
      <c r="E23" s="124">
        <f>HLOOKUP('6 LCA'!$E$29,Timber!B$1:K$20,2,FALSE)</f>
        <v>0.14773</v>
      </c>
      <c r="F23" s="124">
        <f>E23*'6 LCA'!$C$65</f>
        <v>0.12713735510784002</v>
      </c>
      <c r="G23" s="124">
        <f>HLOOKUP('6 LCA'!$E$31,Vapour!$B$1:$D$20,2,FALSE)</f>
        <v>8.4666666666666664E-6</v>
      </c>
      <c r="H23" s="124">
        <f>G23*'6 LCA'!E$32*'6 LCA'!E$33</f>
        <v>0.13426440000000001</v>
      </c>
      <c r="I23" s="124">
        <f>HLOOKUP('6 LCA'!$L$36,Insulation!B$1:D$20,2,FALSE)</f>
        <v>0.11700142857142858</v>
      </c>
      <c r="J23" s="124">
        <f>I23*'6 LCA'!L$38</f>
        <v>0.70200857142857143</v>
      </c>
      <c r="K23" s="124">
        <f>HLOOKUP('6 LCA'!E$13,Ecoboards!H$1:I$19,2,FALSE)</f>
        <v>1.8799999999999999E-3</v>
      </c>
      <c r="L23" s="124">
        <f>K23*('6 LCA'!$E$14/1000)*'6 LCA'!$E$15*'6 LCA'!$E$16*'6 LCA'!$E$17*Ecoboards!$E$4</f>
        <v>1.4570150399999999</v>
      </c>
      <c r="M23" s="124">
        <f>Ecoboards!H25*'6 LCA'!$E$56</f>
        <v>1.2564200000000001</v>
      </c>
    </row>
    <row r="24" spans="1:14">
      <c r="A24" s="124" t="s">
        <v>544</v>
      </c>
      <c r="B24" s="124">
        <f>HLOOKUP('6 LCA'!$E$19,Foundations!B$1:I$20,3,FALSE)</f>
        <v>22.99869</v>
      </c>
      <c r="C24" s="124">
        <f>B24*'6 LCA'!C$64</f>
        <v>23.286173625000004</v>
      </c>
      <c r="D24" s="124">
        <f>C24*'6 LCA'!E$24+('6 LCA'!$E$25*Foundations!D3)</f>
        <v>402.64703408923742</v>
      </c>
      <c r="E24" s="124">
        <f>HLOOKUP('6 LCA'!$E$29,Timber!B$1:K$20,3,FALSE)</f>
        <v>43.42333</v>
      </c>
      <c r="F24" s="124">
        <f>E24*'6 LCA'!$C$65</f>
        <v>37.370387370032645</v>
      </c>
      <c r="G24" s="124">
        <f>HLOOKUP('6 LCA'!$E$31,Vapour!$B$1:$D$20,3,FALSE)</f>
        <v>2.9984E-3</v>
      </c>
      <c r="H24" s="124">
        <f>G24*'6 LCA'!E$32*'6 LCA'!E$33</f>
        <v>47.548627199999999</v>
      </c>
      <c r="I24" s="124">
        <f>HLOOKUP('6 LCA'!$L$36,Insulation!B$1:D$20,3,FALSE)</f>
        <v>43.123992857142859</v>
      </c>
      <c r="J24" s="124">
        <f>I24*'6 LCA'!L$38</f>
        <v>258.74395714285714</v>
      </c>
      <c r="K24" s="124">
        <f>HLOOKUP('6 LCA'!E$13,Ecoboards!H$1:I$19,3,FALSE)</f>
        <v>0.59958</v>
      </c>
      <c r="L24" s="124">
        <f>K24*('6 LCA'!$E$14/1000)*(('6 LCA'!$E$15*'6 LCA'!$E$16*'6 LCA'!$E$17)-('6 LCA'!E44/1000*'6 LCA'!E45/1000))*Ecoboards!$E$4</f>
        <v>443.49443842859995</v>
      </c>
      <c r="M24" s="124">
        <f>Ecoboards!H26*'6 LCA'!$E$56</f>
        <v>311.3143</v>
      </c>
      <c r="N24" s="124">
        <f>Ecoboards!L26*'6 LCA'!$E$56</f>
        <v>1045.24992</v>
      </c>
    </row>
    <row r="25" spans="1:14">
      <c r="A25" s="124" t="s">
        <v>545</v>
      </c>
      <c r="B25" s="124">
        <f>HLOOKUP('6 LCA'!$E$19,Foundations!B$1:I$20,4,FALSE)</f>
        <v>0.51665000000000005</v>
      </c>
      <c r="C25" s="124">
        <f>B25*'6 LCA'!C$64</f>
        <v>0.52310812500000015</v>
      </c>
      <c r="D25" s="124">
        <f>C25*'6 LCA'!E$24+('6 LCA'!$E$25*Foundations!D4)</f>
        <v>31.999463685487711</v>
      </c>
      <c r="E25" s="124">
        <f>HLOOKUP('6 LCA'!$E$29,Timber!B$1:K$20,4,FALSE)</f>
        <v>0.96677000000000002</v>
      </c>
      <c r="F25" s="124">
        <f>E25*'6 LCA'!$C$65</f>
        <v>0.83200826370816006</v>
      </c>
      <c r="G25" s="124">
        <f>HLOOKUP('6 LCA'!$E$31,Vapour!$B$1:$D$20,4,FALSE)</f>
        <v>7.8333333333333331E-5</v>
      </c>
      <c r="H25" s="124">
        <f>G25*'6 LCA'!E$32*'6 LCA'!E$33</f>
        <v>1.24221</v>
      </c>
      <c r="I25" s="124">
        <f>HLOOKUP('6 LCA'!$L$36,Insulation!B$1:D$20,4,FALSE)</f>
        <v>1.0949257142857143</v>
      </c>
      <c r="J25" s="124">
        <f>I25*'6 LCA'!L$38</f>
        <v>6.5695542857142861</v>
      </c>
      <c r="K25" s="124">
        <f>HLOOKUP('6 LCA'!E$13,Ecoboards!H$1:I$19,4,FALSE)</f>
        <v>1.3339999999999999E-2</v>
      </c>
      <c r="L25" s="124">
        <f>K25*('6 LCA'!$E$14/1000)*'6 LCA'!$E$15*'6 LCA'!$E$16*'6 LCA'!$E$17*Ecoboards!$E$4</f>
        <v>10.338606719999998</v>
      </c>
      <c r="M25" s="124">
        <f>Ecoboards!H27*'6 LCA'!$E$56</f>
        <v>8.9842499999999994</v>
      </c>
    </row>
    <row r="26" spans="1:14">
      <c r="A26" s="124" t="s">
        <v>546</v>
      </c>
      <c r="B26" s="124">
        <f>HLOOKUP('6 LCA'!$E$19,Foundations!B$1:I$20,5,FALSE)</f>
        <v>0.86219000000000001</v>
      </c>
      <c r="C26" s="124">
        <f>B26*'6 LCA'!C$64</f>
        <v>0.87296737500000021</v>
      </c>
      <c r="D26" s="124">
        <f>C26*'6 LCA'!E$24+('6 LCA'!$E$25*Foundations!D5)</f>
        <v>44.548952936353928</v>
      </c>
      <c r="E26" s="124">
        <f>HLOOKUP('6 LCA'!$E$29,Timber!B$1:K$20,5,FALSE)</f>
        <v>1.35639</v>
      </c>
      <c r="F26" s="124">
        <f>E26*'6 LCA'!$C$65</f>
        <v>1.1673176544691202</v>
      </c>
      <c r="G26" s="124">
        <f>HLOOKUP('6 LCA'!$E$31,Vapour!$B$1:$D$20,5,FALSE)</f>
        <v>1.0489999999999999E-4</v>
      </c>
      <c r="H26" s="124">
        <f>G26*'6 LCA'!E$32*'6 LCA'!E$33</f>
        <v>1.6635041999999998</v>
      </c>
      <c r="I26" s="124">
        <f>HLOOKUP('6 LCA'!$L$36,Insulation!B$1:D$20,5,FALSE)</f>
        <v>1.5293214285714285</v>
      </c>
      <c r="J26" s="124">
        <f>I26*'6 LCA'!L$38</f>
        <v>9.175928571428571</v>
      </c>
      <c r="K26" s="124">
        <f>HLOOKUP('6 LCA'!E$13,Ecoboards!H$1:I$19,5,FALSE)</f>
        <v>1.865E-2</v>
      </c>
      <c r="L26" s="124">
        <f>K26*('6 LCA'!$E$14/1000)*'6 LCA'!$E$15*'6 LCA'!$E$16*'6 LCA'!$E$17*Ecoboards!$E$4</f>
        <v>14.453899199999999</v>
      </c>
      <c r="M26" s="124">
        <f>Ecoboards!H28*'6 LCA'!$E$56</f>
        <v>12.3475</v>
      </c>
    </row>
    <row r="27" spans="1:14">
      <c r="A27" s="124" t="s">
        <v>547</v>
      </c>
      <c r="B27" s="124">
        <f>HLOOKUP('6 LCA'!$E$19,Foundations!B$1:I$20,6,FALSE)</f>
        <v>311.12990000000002</v>
      </c>
      <c r="C27" s="124">
        <f>B27*'6 LCA'!C$64</f>
        <v>315.01902375000009</v>
      </c>
      <c r="D27" s="124">
        <f>C27*'6 LCA'!E$24+('6 LCA'!$E$25*Foundations!D6)</f>
        <v>2677.7987177088216</v>
      </c>
      <c r="E27" s="124">
        <f>HLOOKUP('6 LCA'!$E$29,Timber!B$1:K$20,6,FALSE)</f>
        <v>187.50469000000001</v>
      </c>
      <c r="F27" s="124">
        <f>E27*'6 LCA'!$C$65</f>
        <v>161.36770024311554</v>
      </c>
      <c r="G27" s="124">
        <f>HLOOKUP('6 LCA'!$E$31,Vapour!$B$1:$D$20,6,FALSE)</f>
        <v>6.9270999999999994E-3</v>
      </c>
      <c r="H27" s="124">
        <f>G27*'6 LCA'!E$32*'6 LCA'!E$33</f>
        <v>109.84995179999999</v>
      </c>
      <c r="I27" s="124">
        <f>HLOOKUP('6 LCA'!$L$36,Insulation!B$1:D$20,6,FALSE)</f>
        <v>202.47290428571426</v>
      </c>
      <c r="J27" s="124">
        <f>I27*'6 LCA'!L$38</f>
        <v>1214.8374257142855</v>
      </c>
      <c r="K27" s="124">
        <f>HLOOKUP('6 LCA'!E$13,Ecoboards!H$1:I$19,6,FALSE)</f>
        <v>2.06473</v>
      </c>
      <c r="L27" s="124">
        <f>K27*('6 LCA'!$E$14/1000)*'6 LCA'!$E$15*'6 LCA'!$E$16*'6 LCA'!$E$17*Ecoboards!$E$4</f>
        <v>1600.1822678399999</v>
      </c>
      <c r="M27" s="124">
        <f>Ecoboards!H29*'6 LCA'!$E$56</f>
        <v>1100.94127</v>
      </c>
    </row>
    <row r="28" spans="1:14">
      <c r="A28" s="124" t="s">
        <v>548</v>
      </c>
      <c r="B28" s="124">
        <f>HLOOKUP('6 LCA'!$E$19,Foundations!B$1:I$20,7,FALSE)</f>
        <v>6.9444100000000004</v>
      </c>
      <c r="C28" s="124">
        <f>B28*'6 LCA'!C$64</f>
        <v>7.0312151250000019</v>
      </c>
      <c r="D28" s="124">
        <f>C28*'6 LCA'!E$24+('6 LCA'!$E$25*Foundations!D7)</f>
        <v>89.934531375811247</v>
      </c>
      <c r="E28" s="124">
        <f>HLOOKUP('6 LCA'!$E$29,Timber!B$1:K$20,7,FALSE)</f>
        <v>12.06639</v>
      </c>
      <c r="F28" s="124">
        <f>E28*'6 LCA'!$C$65</f>
        <v>10.384410142149122</v>
      </c>
      <c r="G28" s="124">
        <f>HLOOKUP('6 LCA'!$E$31,Vapour!$B$1:$D$20,7,FALSE)</f>
        <v>1.7719999999999999E-3</v>
      </c>
      <c r="H28" s="124">
        <f>G28*'6 LCA'!E$32*'6 LCA'!E$33</f>
        <v>28.100375999999997</v>
      </c>
      <c r="I28" s="124">
        <f>HLOOKUP('6 LCA'!$L$36,Insulation!B$1:D$20,7,FALSE)</f>
        <v>9.6834771428571429</v>
      </c>
      <c r="J28" s="124">
        <f>I28*'6 LCA'!L$38</f>
        <v>58.100862857142857</v>
      </c>
      <c r="K28" s="124">
        <f>HLOOKUP('6 LCA'!E$13,Ecoboards!H$1:I$19,7,FALSE)</f>
        <v>0.15756000000000001</v>
      </c>
      <c r="L28" s="124">
        <f>K28*('6 LCA'!$E$14/1000)*'6 LCA'!$E$15*'6 LCA'!$E$16*'6 LCA'!$E$17*Ecoboards!$E$4</f>
        <v>122.11026047999999</v>
      </c>
      <c r="M28" s="124">
        <f>Ecoboards!H30*'6 LCA'!$E$56</f>
        <v>83.934950000000001</v>
      </c>
    </row>
    <row r="29" spans="1:14">
      <c r="A29" s="124" t="s">
        <v>549</v>
      </c>
      <c r="B29" s="124">
        <f>HLOOKUP('6 LCA'!$E$19,Foundations!B$1:I$20,8,FALSE)</f>
        <v>4.2399999999999998E-3</v>
      </c>
      <c r="C29" s="124">
        <f>B29*'6 LCA'!C$64</f>
        <v>4.2930000000000008E-3</v>
      </c>
      <c r="D29" s="124">
        <f>C29*'6 LCA'!E$24+('6 LCA'!$E$25*Foundations!D8)</f>
        <v>0.17012428858742618</v>
      </c>
      <c r="E29" s="124">
        <f>HLOOKUP('6 LCA'!$E$29,Timber!B$1:K$20,8,FALSE)</f>
        <v>1.533E-2</v>
      </c>
      <c r="F29" s="124">
        <f>E29*'6 LCA'!$C$65</f>
        <v>1.3193093168640001E-2</v>
      </c>
      <c r="G29" s="124">
        <f>HLOOKUP('6 LCA'!$E$31,Vapour!$B$1:$D$20,8,FALSE)</f>
        <v>7.3333333333333334E-7</v>
      </c>
      <c r="H29" s="124">
        <f>G29*'6 LCA'!E$32*'6 LCA'!E$33</f>
        <v>1.1629199999999999E-2</v>
      </c>
      <c r="I29" s="124">
        <f>HLOOKUP('6 LCA'!$L$36,Insulation!B$1:D$20,8,FALSE)</f>
        <v>2.5917142857142854E-2</v>
      </c>
      <c r="J29" s="124">
        <f>I29*'6 LCA'!L$38</f>
        <v>0.15550285714285711</v>
      </c>
      <c r="K29" s="124">
        <f>HLOOKUP('6 LCA'!E$13,Ecoboards!H$1:I$19,8,FALSE)</f>
        <v>1.9000000000000001E-4</v>
      </c>
      <c r="L29" s="124">
        <f>K29*('6 LCA'!$E$14/1000)*'6 LCA'!$E$15*'6 LCA'!$E$16*'6 LCA'!$E$17*Ecoboards!$E$4</f>
        <v>0.14725151999999997</v>
      </c>
      <c r="M29" s="124">
        <f>Ecoboards!H31*'6 LCA'!$E$56</f>
        <v>0.11792</v>
      </c>
    </row>
    <row r="30" spans="1:14">
      <c r="A30" s="124" t="s">
        <v>550</v>
      </c>
      <c r="B30" s="124">
        <f>HLOOKUP('6 LCA'!$E$19,Foundations!B$1:I$20,9,FALSE)</f>
        <v>6.7000000000000002E-4</v>
      </c>
      <c r="C30" s="124">
        <f>B30*'6 LCA'!C$64</f>
        <v>6.7837500000000016E-4</v>
      </c>
      <c r="D30" s="124">
        <f>C30*'6 LCA'!E$24+('6 LCA'!$E$25*Foundations!D9)</f>
        <v>2.2624485443409396E-2</v>
      </c>
      <c r="E30" s="124">
        <f>HLOOKUP('6 LCA'!$E$29,Timber!B$1:K$20,9,FALSE)</f>
        <v>3.29E-3</v>
      </c>
      <c r="F30" s="124">
        <f>E30*'6 LCA'!$C$65</f>
        <v>2.8313944243200002E-3</v>
      </c>
      <c r="G30" s="124">
        <f>HLOOKUP('6 LCA'!$E$31,Vapour!$B$1:$D$20,9,FALSE)</f>
        <v>1.0683700000000001E-7</v>
      </c>
      <c r="H30" s="124">
        <f>G30*'6 LCA'!E$32*'6 LCA'!E$33</f>
        <v>1.6942211460000002E-3</v>
      </c>
      <c r="I30" s="124">
        <f>HLOOKUP('6 LCA'!$L$36,Insulation!B$1:D$20,9,FALSE)</f>
        <v>1.2928571428571429E-3</v>
      </c>
      <c r="J30" s="124">
        <f>I30*'6 LCA'!L$38</f>
        <v>7.7571428571428574E-3</v>
      </c>
      <c r="K30" s="124">
        <f>HLOOKUP('6 LCA'!E$13,Ecoboards!H$1:I$19,9,FALSE)</f>
        <v>1.7646200000000001E-5</v>
      </c>
      <c r="L30" s="124">
        <f>K30*('6 LCA'!$E$14/1000)*'6 LCA'!$E$15*'6 LCA'!$E$16*'6 LCA'!$E$17*Ecoboards!$E$4</f>
        <v>1.3675946169599999E-2</v>
      </c>
      <c r="M30" s="124">
        <f>Ecoboards!H32*'6 LCA'!$E$56</f>
        <v>1.562E-2</v>
      </c>
    </row>
    <row r="31" spans="1:14">
      <c r="A31" s="124" t="s">
        <v>551</v>
      </c>
      <c r="B31" s="124">
        <f>HLOOKUP('6 LCA'!$E$19,Foundations!B$1:I$20,10,FALSE)</f>
        <v>1.2566900000000001</v>
      </c>
      <c r="C31" s="124">
        <f>B31*'6 LCA'!C$64</f>
        <v>1.2723986250000003</v>
      </c>
      <c r="D31" s="124">
        <f>C31*'6 LCA'!E$24+('6 LCA'!$E$25*Foundations!D10)</f>
        <v>445.56605119992065</v>
      </c>
      <c r="E31" s="124">
        <f>HLOOKUP('6 LCA'!$E$29,Timber!B$1:K$20,10,FALSE)</f>
        <v>4.5148200000000003</v>
      </c>
      <c r="F31" s="124">
        <f>E31*'6 LCA'!$C$65</f>
        <v>3.8854821200025609</v>
      </c>
      <c r="G31" s="124">
        <f>HLOOKUP('6 LCA'!$E$31,Vapour!$B$1:$D$20,10,FALSE)</f>
        <v>1.2366666666666667E-4</v>
      </c>
      <c r="H31" s="124">
        <f>G31*'6 LCA'!E$32*'6 LCA'!E$33</f>
        <v>1.961106</v>
      </c>
      <c r="I31" s="124">
        <f>HLOOKUP('6 LCA'!$L$36,Insulation!B$1:D$20,10,FALSE)</f>
        <v>3.1747942857142855</v>
      </c>
      <c r="J31" s="124">
        <f>I31*'6 LCA'!L$38</f>
        <v>19.048765714285715</v>
      </c>
      <c r="K31" s="124">
        <f>HLOOKUP('6 LCA'!E$13,Ecoboards!H$1:I$19,10,FALSE)</f>
        <v>3.2640000000000002E-2</v>
      </c>
      <c r="L31" s="124">
        <f>K31*('6 LCA'!$E$14/1000)*'6 LCA'!$E$15*'6 LCA'!$E$16*'6 LCA'!$E$17*Ecoboards!$E$4</f>
        <v>25.296261119999997</v>
      </c>
      <c r="M31" s="124">
        <f>Ecoboards!H33*'6 LCA'!$E$56</f>
        <v>22.484549999999999</v>
      </c>
    </row>
    <row r="32" spans="1:14">
      <c r="A32" s="124" t="s">
        <v>552</v>
      </c>
      <c r="B32" s="124">
        <f>HLOOKUP('6 LCA'!$E$19,Foundations!B$1:I$20,11,FALSE)</f>
        <v>16.30959</v>
      </c>
      <c r="C32" s="124">
        <f>B32*'6 LCA'!C$64</f>
        <v>16.513459875000002</v>
      </c>
      <c r="D32" s="124">
        <f>C32*'6 LCA'!E$24+('6 LCA'!$E$25*Foundations!D11)</f>
        <v>421.58777615896861</v>
      </c>
      <c r="E32" s="124">
        <f>HLOOKUP('6 LCA'!$E$29,Timber!B$1:K$20,11,FALSE)</f>
        <v>24.192139999999998</v>
      </c>
      <c r="F32" s="124">
        <f>E32*'6 LCA'!$C$65</f>
        <v>20.819905868805122</v>
      </c>
      <c r="G32" s="124">
        <f>HLOOKUP('6 LCA'!$E$31,Vapour!$B$1:$D$20,11,FALSE)</f>
        <v>1.8520333333333335E-3</v>
      </c>
      <c r="H32" s="124">
        <f>G32*'6 LCA'!E$32*'6 LCA'!E$33</f>
        <v>29.369544600000001</v>
      </c>
      <c r="I32" s="124">
        <f>HLOOKUP('6 LCA'!$L$36,Insulation!B$1:D$20,11,FALSE)</f>
        <v>-312.98223714285712</v>
      </c>
      <c r="J32" s="124">
        <f>I32*'6 LCA'!L$38</f>
        <v>-1877.8934228571427</v>
      </c>
      <c r="K32" s="124">
        <f>HLOOKUP('6 LCA'!E$13,Ecoboards!H$1:I$19,11,FALSE)</f>
        <v>0.39299000000000001</v>
      </c>
      <c r="L32" s="124">
        <f>K32*('6 LCA'!$E$14/1000)*'6 LCA'!$E$15*'6 LCA'!$E$16*'6 LCA'!$E$17*Ecoboards!$E$4</f>
        <v>304.5703939199999</v>
      </c>
      <c r="M32" s="124">
        <f>Ecoboards!H34*'6 LCA'!$E$56</f>
        <v>261.04561999999999</v>
      </c>
    </row>
    <row r="33" spans="1:13">
      <c r="A33" s="124" t="s">
        <v>553</v>
      </c>
      <c r="B33" s="124">
        <f>HLOOKUP('6 LCA'!$E$19,Foundations!B$1:I$20,12,FALSE)</f>
        <v>0.27407999999999999</v>
      </c>
      <c r="C33" s="124">
        <f>B33*'6 LCA'!C$64</f>
        <v>0.27750600000000003</v>
      </c>
      <c r="D33" s="124">
        <f>C33*'6 LCA'!E$24+('6 LCA'!$E$25*Foundations!D12)</f>
        <v>10.35213757217721</v>
      </c>
      <c r="E33" s="124">
        <f>HLOOKUP('6 LCA'!$E$29,Timber!B$1:K$20,12,FALSE)</f>
        <v>2.6396099999999998</v>
      </c>
      <c r="F33" s="124">
        <f>E33*'6 LCA'!$C$65</f>
        <v>2.27166475269888</v>
      </c>
      <c r="G33" s="124">
        <f>HLOOKUP('6 LCA'!$E$31,Vapour!$B$1:$D$20,12,FALSE)</f>
        <v>1.8896666666666666E-4</v>
      </c>
      <c r="H33" s="124">
        <f>G33*'6 LCA'!E$32*'6 LCA'!E$33</f>
        <v>2.9966333999999999</v>
      </c>
      <c r="I33" s="124">
        <f>HLOOKUP('6 LCA'!$L$36,Insulation!B$1:D$20,12,FALSE)</f>
        <v>1.0969557142857143</v>
      </c>
      <c r="J33" s="124">
        <f>I33*'6 LCA'!L$38</f>
        <v>6.5817342857142851</v>
      </c>
      <c r="K33" s="124">
        <f>HLOOKUP('6 LCA'!E$13,Ecoboards!H$1:I$19,12,FALSE)</f>
        <v>3.4889999999999997E-2</v>
      </c>
      <c r="L33" s="124">
        <f>K33*('6 LCA'!$E$14/1000)*'6 LCA'!$E$15*'6 LCA'!$E$16*'6 LCA'!$E$17*Ecoboards!$E$4</f>
        <v>27.040029119999993</v>
      </c>
      <c r="M33" s="124">
        <f>Ecoboards!H35*'6 LCA'!$E$56</f>
        <v>26.582380000000001</v>
      </c>
    </row>
    <row r="34" spans="1:13">
      <c r="A34" s="124" t="s">
        <v>554</v>
      </c>
      <c r="B34" s="124">
        <f>HLOOKUP('6 LCA'!$E$19,Foundations!B$1:I$20,13,FALSE)</f>
        <v>1.54786</v>
      </c>
      <c r="C34" s="124">
        <f>B34*'6 LCA'!C$64</f>
        <v>1.5672082500000002</v>
      </c>
      <c r="D34" s="124">
        <f>C34*'6 LCA'!E$24+('6 LCA'!$E$25*Foundations!D13)</f>
        <v>11.040612545866358</v>
      </c>
      <c r="E34" s="124">
        <f>HLOOKUP('6 LCA'!$E$29,Timber!B$1:K$20,13,FALSE)</f>
        <v>822.11931000000004</v>
      </c>
      <c r="F34" s="124">
        <f>E34*'6 LCA'!$C$65</f>
        <v>707.52098190267657</v>
      </c>
      <c r="G34" s="124">
        <f>HLOOKUP('6 LCA'!$E$31,Vapour!$B$1:$D$20,13,FALSE)</f>
        <v>8.6933333333333337E-5</v>
      </c>
      <c r="H34" s="124">
        <f>G34*'6 LCA'!E$32*'6 LCA'!E$33</f>
        <v>1.3785888000000002</v>
      </c>
      <c r="I34" s="124">
        <f>HLOOKUP('6 LCA'!$L$36,Insulation!B$1:D$20,13,FALSE)</f>
        <v>783.04083857142859</v>
      </c>
      <c r="J34" s="124">
        <f>I34*'6 LCA'!L$38</f>
        <v>4698.2450314285716</v>
      </c>
      <c r="K34" s="124">
        <f>HLOOKUP('6 LCA'!E$13,Ecoboards!H$1:I$19,13,FALSE)</f>
        <v>3.3649999999999999E-2</v>
      </c>
      <c r="L34" s="124">
        <f>K34*('6 LCA'!$E$14/1000)*'6 LCA'!$E$15*'6 LCA'!$E$16*'6 LCA'!$E$17*Ecoboards!$E$4</f>
        <v>26.079019199999994</v>
      </c>
      <c r="M34" s="124">
        <f>Ecoboards!H36*'6 LCA'!$E$56</f>
        <v>1165.9322400000001</v>
      </c>
    </row>
    <row r="35" spans="1:13">
      <c r="A35" s="124" t="s">
        <v>555</v>
      </c>
      <c r="B35" s="124">
        <f>HLOOKUP('6 LCA'!$E$19,Foundations!B$1:I$20,14,FALSE)</f>
        <v>0.37498999999999999</v>
      </c>
      <c r="C35" s="124">
        <f>B35*'6 LCA'!C$64</f>
        <v>0.37967737500000004</v>
      </c>
      <c r="D35" s="124">
        <f>C35*'6 LCA'!E$24+('6 LCA'!$E$25*Foundations!D14)</f>
        <v>50.079225075768456</v>
      </c>
      <c r="E35" s="124">
        <f>HLOOKUP('6 LCA'!$E$29,Timber!B$1:K$20,14,FALSE)</f>
        <v>0.53132999999999997</v>
      </c>
      <c r="F35" s="124">
        <f>E35*'6 LCA'!$C$65</f>
        <v>0.45726589649664001</v>
      </c>
      <c r="G35" s="124">
        <f>HLOOKUP('6 LCA'!$E$31,Vapour!$B$1:$D$20,14,FALSE)</f>
        <v>1.9633333333333334E-5</v>
      </c>
      <c r="H35" s="124">
        <f>G35*'6 LCA'!E$32*'6 LCA'!E$33</f>
        <v>0.31134539999999999</v>
      </c>
      <c r="I35" s="124">
        <f>HLOOKUP('6 LCA'!$L$36,Insulation!B$1:D$20,14,FALSE)</f>
        <v>0.7193342857142857</v>
      </c>
      <c r="J35" s="124">
        <f>I35*'6 LCA'!L$38</f>
        <v>4.3160057142857138</v>
      </c>
      <c r="K35" s="124">
        <f>HLOOKUP('6 LCA'!E$13,Ecoboards!H$1:I$19,14,FALSE)</f>
        <v>3.3800000000000002E-3</v>
      </c>
      <c r="L35" s="124">
        <f>K35*('6 LCA'!$E$14/1000)*'6 LCA'!$E$15*'6 LCA'!$E$16*'6 LCA'!$E$17*Ecoboards!$E$4</f>
        <v>2.6195270399999999</v>
      </c>
      <c r="M35" s="124">
        <f>Ecoboards!H37*'6 LCA'!$E$56</f>
        <v>4.88103</v>
      </c>
    </row>
    <row r="36" spans="1:13">
      <c r="A36" s="124" t="s">
        <v>556</v>
      </c>
      <c r="B36" s="124">
        <f>HLOOKUP('6 LCA'!$E$19,Foundations!B$1:I$20,15,FALSE)</f>
        <v>1.31972E-5</v>
      </c>
      <c r="C36" s="124">
        <f>B36*'6 LCA'!C$64</f>
        <v>1.3362165000000002E-5</v>
      </c>
      <c r="D36" s="124">
        <f>C36*'6 LCA'!E$24+('6 LCA'!$E$25*Foundations!D15)</f>
        <v>8.8474069475176785E-5</v>
      </c>
      <c r="E36" s="124">
        <f>HLOOKUP('6 LCA'!$E$29,Timber!B$1:K$20,15,FALSE)</f>
        <v>2.02822E-5</v>
      </c>
      <c r="F36" s="124">
        <f>E36*'6 LCA'!$C$65</f>
        <v>1.7454987231897603E-5</v>
      </c>
      <c r="G36" s="124">
        <f>HLOOKUP('6 LCA'!$E$31,Vapour!$B$1:$D$20,15,FALSE)</f>
        <v>5.5349666666666671E-10</v>
      </c>
      <c r="H36" s="124">
        <f>G36*'6 LCA'!E$32*'6 LCA'!E$33</f>
        <v>8.7773501400000008E-6</v>
      </c>
      <c r="I36" s="124">
        <f>HLOOKUP('6 LCA'!$L$36,Insulation!B$1:D$20,15,FALSE)</f>
        <v>4.2556269999999996E-4</v>
      </c>
      <c r="J36" s="124">
        <f>I36*'6 LCA'!L$38</f>
        <v>2.5533761999999996E-3</v>
      </c>
      <c r="K36" s="124">
        <f>HLOOKUP('6 LCA'!E$13,Ecoboards!H$1:I$19,15,FALSE)</f>
        <v>1.6661400000000001E-7</v>
      </c>
      <c r="L36" s="124">
        <f>K36*('6 LCA'!$E$14/1000)*'6 LCA'!$E$15*'6 LCA'!$E$16*'6 LCA'!$E$17*Ecoboards!$E$4</f>
        <v>1.2912718291200001E-4</v>
      </c>
      <c r="M36" s="124">
        <f>Ecoboards!H38*'6 LCA'!$E$56</f>
        <v>1.352824E-4</v>
      </c>
    </row>
    <row r="37" spans="1:13">
      <c r="A37" s="124" t="s">
        <v>557</v>
      </c>
      <c r="B37" s="124">
        <f>HLOOKUP('6 LCA'!$E$19,Foundations!B$1:I$20,16,FALSE)</f>
        <v>6.7960000000000007E-2</v>
      </c>
      <c r="C37" s="124">
        <f>B37*'6 LCA'!C$64</f>
        <v>6.8809500000000023E-2</v>
      </c>
      <c r="D37" s="124">
        <f>C37*'6 LCA'!E$24+('6 LCA'!$E$25*Foundations!D16)</f>
        <v>0.78271633784940486</v>
      </c>
      <c r="E37" s="124">
        <f>HLOOKUP('6 LCA'!$E$29,Timber!B$1:K$20,16,FALSE)</f>
        <v>7.3999999999999996E-2</v>
      </c>
      <c r="F37" s="124">
        <f>E37*'6 LCA'!$C$65</f>
        <v>6.3684859391999998E-2</v>
      </c>
      <c r="G37" s="124">
        <f>HLOOKUP('6 LCA'!$E$31,Vapour!$B$1:$D$20,16,FALSE)</f>
        <v>3.7666666666666665E-6</v>
      </c>
      <c r="H37" s="124">
        <f>G37*'6 LCA'!E$32*'6 LCA'!E$33</f>
        <v>5.9731799999999995E-2</v>
      </c>
      <c r="I37" s="124">
        <f>HLOOKUP('6 LCA'!$L$36,Insulation!B$1:D$20,16,FALSE)</f>
        <v>6.0050000000000006E-2</v>
      </c>
      <c r="J37" s="124">
        <f>I37*'6 LCA'!L$38</f>
        <v>0.36030000000000006</v>
      </c>
      <c r="K37" s="124">
        <f>HLOOKUP('6 LCA'!E$13,Ecoboards!H$1:I$19,16,FALSE)</f>
        <v>1.15E-3</v>
      </c>
      <c r="L37" s="124">
        <f>K37*('6 LCA'!$E$14/1000)*'6 LCA'!$E$15*'6 LCA'!$E$16*'6 LCA'!$E$17*Ecoboards!$E$4</f>
        <v>0.8912591999999997</v>
      </c>
      <c r="M37" s="124">
        <f>Ecoboards!H39*'6 LCA'!$E$56</f>
        <v>0.75724000000000002</v>
      </c>
    </row>
    <row r="38" spans="1:13">
      <c r="A38" s="124" t="s">
        <v>558</v>
      </c>
      <c r="B38" s="124">
        <f>HLOOKUP('6 LCA'!$E$19,Foundations!B$1:I$20,17,FALSE)</f>
        <v>0.22989999999999999</v>
      </c>
      <c r="C38" s="124">
        <f>B38*'6 LCA'!C$64</f>
        <v>0.23277375000000003</v>
      </c>
      <c r="D38" s="124">
        <f>C38*'6 LCA'!E$24+('6 LCA'!$E$25*Foundations!D17)</f>
        <v>1.3276368976162096</v>
      </c>
      <c r="E38" s="124">
        <f>HLOOKUP('6 LCA'!$E$29,Timber!B$1:K$20,17,FALSE)</f>
        <v>0.22628999999999999</v>
      </c>
      <c r="F38" s="124">
        <f>E38*'6 LCA'!$C$65</f>
        <v>0.19474657880832003</v>
      </c>
      <c r="G38" s="124">
        <f>HLOOKUP('6 LCA'!$E$31,Vapour!$B$1:$D$20,17,FALSE)</f>
        <v>7.3000000000000004E-6</v>
      </c>
      <c r="H38" s="124">
        <f>G38*'6 LCA'!E$32*'6 LCA'!E$33</f>
        <v>0.11576340000000002</v>
      </c>
      <c r="I38" s="124">
        <f>HLOOKUP('6 LCA'!$L$36,Insulation!B$1:D$20,17,FALSE)</f>
        <v>0.18632857142857145</v>
      </c>
      <c r="J38" s="124">
        <f>I38*'6 LCA'!L$38</f>
        <v>1.1179714285714288</v>
      </c>
      <c r="K38" s="124">
        <f>HLOOKUP('6 LCA'!E$13,Ecoboards!H$1:I$19,17,FALSE)</f>
        <v>1.6299999999999999E-3</v>
      </c>
      <c r="L38" s="124">
        <f>K38*('6 LCA'!$E$14/1000)*'6 LCA'!$E$15*'6 LCA'!$E$16*'6 LCA'!$E$17*Ecoboards!$E$4</f>
        <v>1.2632630399999998</v>
      </c>
      <c r="M38" s="124">
        <f>Ecoboards!H40*'6 LCA'!$E$56</f>
        <v>1.47532</v>
      </c>
    </row>
    <row r="39" spans="1:13">
      <c r="A39" s="124" t="s">
        <v>559</v>
      </c>
      <c r="B39" s="124">
        <f>HLOOKUP('6 LCA'!$E$19,Foundations!B$1:I$20,18,FALSE)</f>
        <v>0.23618</v>
      </c>
      <c r="C39" s="124">
        <f>B39*'6 LCA'!C$64</f>
        <v>0.23913225000000005</v>
      </c>
      <c r="D39" s="124">
        <f>C39*'6 LCA'!E$24+('6 LCA'!$E$25*Foundations!D18)</f>
        <v>1.4015016059343717</v>
      </c>
      <c r="E39" s="124">
        <f>HLOOKUP('6 LCA'!$E$29,Timber!B$1:K$20,18,FALSE)</f>
        <v>0.23949000000000001</v>
      </c>
      <c r="F39" s="124">
        <f>E39*'6 LCA'!$C$65</f>
        <v>0.20610658075392002</v>
      </c>
      <c r="G39" s="124">
        <f>HLOOKUP('6 LCA'!$E$31,Vapour!$B$1:$D$20,18,FALSE)</f>
        <v>7.9666666666666678E-6</v>
      </c>
      <c r="H39" s="124">
        <f>G39*'6 LCA'!E$32*'6 LCA'!E$33</f>
        <v>0.12633540000000001</v>
      </c>
      <c r="I39" s="124">
        <f>HLOOKUP('6 LCA'!$L$36,Insulation!B$1:D$20,18,FALSE)</f>
        <v>0.19379428571428575</v>
      </c>
      <c r="J39" s="124">
        <f>I39*'6 LCA'!L$38</f>
        <v>1.1627657142857144</v>
      </c>
      <c r="K39" s="124">
        <f>HLOOKUP('6 LCA'!E$13,Ecoboards!H$1:I$19,18,FALSE)</f>
        <v>1.6800000000000001E-3</v>
      </c>
      <c r="L39" s="124">
        <f>K39*('6 LCA'!$E$14/1000)*'6 LCA'!$E$15*'6 LCA'!$E$16*'6 LCA'!$E$17*Ecoboards!$E$4</f>
        <v>1.3020134399999996</v>
      </c>
      <c r="M39" s="124">
        <f>Ecoboards!H41*'6 LCA'!$E$56</f>
        <v>1.6754100000000001</v>
      </c>
    </row>
    <row r="40" spans="1:13">
      <c r="A40" s="124" t="s">
        <v>560</v>
      </c>
      <c r="B40" s="124">
        <f>HLOOKUP('6 LCA'!$E$19,Foundations!B$1:I$20,19,FALSE)</f>
        <v>9.6570000000000003E-2</v>
      </c>
      <c r="C40" s="124">
        <f>B40*'6 LCA'!C$64</f>
        <v>9.777712500000002E-2</v>
      </c>
      <c r="D40" s="124">
        <f>C40*'6 LCA'!E$24+('6 LCA'!$E$25*Foundations!D19)</f>
        <v>3.4368905780392414</v>
      </c>
      <c r="E40" s="124">
        <f>HLOOKUP('6 LCA'!$E$29,Timber!B$1:K$20,19,FALSE)</f>
        <v>0.31701000000000001</v>
      </c>
      <c r="F40" s="124">
        <f>E40*'6 LCA'!$C$65</f>
        <v>0.27282077399808002</v>
      </c>
      <c r="G40" s="124">
        <f>HLOOKUP('6 LCA'!$E$31,Vapour!$B$1:$D$20,19,FALSE)</f>
        <v>4.5033333333333335E-5</v>
      </c>
      <c r="H40" s="124">
        <f>G40*'6 LCA'!E$32*'6 LCA'!E$33</f>
        <v>0.71413859999999996</v>
      </c>
      <c r="I40" s="124">
        <f>HLOOKUP('6 LCA'!$L$36,Insulation!B$1:D$20,19,FALSE)</f>
        <v>0.67112428571428573</v>
      </c>
      <c r="J40" s="124">
        <f>I40*'6 LCA'!L$38</f>
        <v>4.0267457142857142</v>
      </c>
      <c r="K40" s="124">
        <f>HLOOKUP('6 LCA'!E$13,Ecoboards!H$1:I$19,19,FALSE)</f>
        <v>9.8700000000000003E-3</v>
      </c>
      <c r="L40" s="124">
        <f>K40*('6 LCA'!$E$14/1000)*'6 LCA'!$E$15*'6 LCA'!$E$16*'6 LCA'!$E$17*Ecoboards!$E$4</f>
        <v>7.6493289600000001</v>
      </c>
      <c r="M40" s="124">
        <f>Ecoboards!H42*'6 LCA'!$E$56</f>
        <v>2.58874</v>
      </c>
    </row>
    <row r="43" spans="1:13">
      <c r="B43" s="124" t="s">
        <v>703</v>
      </c>
      <c r="C43" s="124" t="s">
        <v>704</v>
      </c>
      <c r="D43" s="124" t="s">
        <v>705</v>
      </c>
      <c r="E43" s="124" t="s">
        <v>706</v>
      </c>
    </row>
    <row r="44" spans="1:13">
      <c r="A44" s="124" t="s">
        <v>543</v>
      </c>
      <c r="B44" s="181">
        <f>Bamboo!F3</f>
        <v>2.88996E-6</v>
      </c>
      <c r="C44" s="181">
        <f>B44*Bamboo!$C$12</f>
        <v>7.1318217169068394E-4</v>
      </c>
      <c r="D44" s="124">
        <f>HLOOKUP('6 LCA'!S$37,'Water tank'!$H$2:$J$20,2)</f>
        <v>1.061E-2</v>
      </c>
      <c r="E44" s="124">
        <f>D44*'Water tank'!$E$21</f>
        <v>0.2941573535810752</v>
      </c>
    </row>
    <row r="45" spans="1:13">
      <c r="A45" s="124" t="s">
        <v>544</v>
      </c>
      <c r="B45" s="181">
        <f>Bamboo!F4</f>
        <v>8.0000000000000004E-4</v>
      </c>
      <c r="C45" s="181">
        <f>B45*Bamboo!$C$12</f>
        <v>0.1974234028680491</v>
      </c>
      <c r="D45" s="124">
        <f>HLOOKUP('6 LCA'!S$37,'Water tank'!$H$2:$J$20,3)</f>
        <v>3.7028699999999999</v>
      </c>
      <c r="E45" s="124">
        <f>D45*'Water tank'!$E$21</f>
        <v>102.66036190902507</v>
      </c>
    </row>
    <row r="46" spans="1:13">
      <c r="A46" s="124" t="s">
        <v>545</v>
      </c>
      <c r="B46" s="181">
        <f>Bamboo!F5</f>
        <v>4.4586000000000003E-5</v>
      </c>
      <c r="C46" s="181">
        <f>B46*Bamboo!$C$12</f>
        <v>1.1002899800343547E-2</v>
      </c>
      <c r="D46" s="124">
        <f>HLOOKUP('6 LCA'!S$37,'Water tank'!$H$2:$J$20,4)</f>
        <v>9.0660000000000004E-2</v>
      </c>
      <c r="E46" s="124">
        <f>D46*'Water tank'!$E$21</f>
        <v>2.5135066612309407</v>
      </c>
    </row>
    <row r="47" spans="1:13">
      <c r="A47" s="124" t="s">
        <v>546</v>
      </c>
      <c r="B47" s="181">
        <f>Bamboo!F6</f>
        <v>5.8103899999999998E-5</v>
      </c>
      <c r="C47" s="181">
        <f>B47*Bamboo!$C$12</f>
        <v>1.4338837072381046E-2</v>
      </c>
      <c r="D47" s="124">
        <f>HLOOKUP('6 LCA'!S$37,'Water tank'!$H$2:$J$20,5)</f>
        <v>0.12021</v>
      </c>
      <c r="E47" s="124">
        <f>D47*'Water tank'!$E$21</f>
        <v>3.3327667741735203</v>
      </c>
    </row>
    <row r="48" spans="1:13">
      <c r="A48" s="124" t="s">
        <v>547</v>
      </c>
      <c r="B48" s="181">
        <f>Bamboo!F7</f>
        <v>4.9699999999999996E-3</v>
      </c>
      <c r="C48" s="181">
        <f>B48*Bamboo!$C$12</f>
        <v>1.2264928903177548</v>
      </c>
      <c r="D48" s="124">
        <f>HLOOKUP('6 LCA'!S$37,'Water tank'!$H$2:$J$20,6)</f>
        <v>6.0655700000000001</v>
      </c>
      <c r="E48" s="124">
        <f>D48*'Water tank'!$E$21</f>
        <v>168.16512904436971</v>
      </c>
    </row>
    <row r="49" spans="1:5">
      <c r="A49" s="124" t="s">
        <v>548</v>
      </c>
      <c r="B49" s="181">
        <f>Bamboo!F8</f>
        <v>2.0000000000000001E-4</v>
      </c>
      <c r="C49" s="181">
        <f>B49*Bamboo!$C$12</f>
        <v>4.9355850717012276E-2</v>
      </c>
      <c r="D49" s="124">
        <f>HLOOKUP('6 LCA'!S$37,'Water tank'!$H$2:$J$20,7)</f>
        <v>2.0274200000000002</v>
      </c>
      <c r="E49" s="124">
        <f>D49*'Water tank'!$E$21</f>
        <v>56.209283864028613</v>
      </c>
    </row>
    <row r="50" spans="1:5">
      <c r="A50" s="124" t="s">
        <v>549</v>
      </c>
      <c r="B50" s="181">
        <f>Bamboo!F9</f>
        <v>1.8394199999999999E-7</v>
      </c>
      <c r="C50" s="181">
        <f>B50*Bamboo!$C$12</f>
        <v>4.5393069462943356E-5</v>
      </c>
      <c r="D50" s="124">
        <f>HLOOKUP('6 LCA'!S$37,'Water tank'!$H$2:$J$20,8)</f>
        <v>1.0399999999999999E-3</v>
      </c>
      <c r="E50" s="124">
        <f>D50*'Water tank'!$E$21</f>
        <v>2.883352004941736E-2</v>
      </c>
    </row>
    <row r="51" spans="1:5">
      <c r="A51" s="124" t="s">
        <v>550</v>
      </c>
      <c r="B51" s="181">
        <f>Bamboo!F10</f>
        <v>1.0907800000000001E-7</v>
      </c>
      <c r="C51" s="181">
        <f>B51*Bamboo!$C$12</f>
        <v>2.6918187422551324E-5</v>
      </c>
      <c r="D51" s="124">
        <f>HLOOKUP('6 LCA'!S$37,'Water tank'!$H$2:$J$20,9)</f>
        <v>1E-4</v>
      </c>
      <c r="E51" s="124">
        <f>D51*'Water tank'!$E$21</f>
        <v>2.772453850905516E-3</v>
      </c>
    </row>
    <row r="52" spans="1:5">
      <c r="A52" s="124" t="s">
        <v>551</v>
      </c>
      <c r="B52" s="181">
        <f>Bamboo!F11</f>
        <v>4.3606000000000002E-5</v>
      </c>
      <c r="C52" s="181">
        <f>B52*Bamboo!$C$12</f>
        <v>1.0761056131830185E-2</v>
      </c>
      <c r="D52" s="124">
        <f>HLOOKUP('6 LCA'!S$37,'Water tank'!$H$2:$J$20,10)</f>
        <v>0.16667999999999999</v>
      </c>
      <c r="E52" s="124">
        <f>D52*'Water tank'!$E$21</f>
        <v>4.621126078689314</v>
      </c>
    </row>
    <row r="53" spans="1:5">
      <c r="A53" s="124" t="s">
        <v>552</v>
      </c>
      <c r="B53" s="181">
        <f>Bamboo!F12</f>
        <v>8.8999999999999995E-4</v>
      </c>
      <c r="C53" s="181">
        <f>B53*Bamboo!$C$12</f>
        <v>0.2196335356907046</v>
      </c>
      <c r="D53" s="124">
        <f>HLOOKUP('6 LCA'!S$37,'Water tank'!$H$2:$J$20,11)</f>
        <v>2.2178300000000002</v>
      </c>
      <c r="E53" s="124">
        <f>D53*'Water tank'!$E$21</f>
        <v>61.488313241537803</v>
      </c>
    </row>
    <row r="54" spans="1:5">
      <c r="A54" s="124" t="s">
        <v>553</v>
      </c>
      <c r="B54" s="181">
        <f>Bamboo!F13</f>
        <v>1.51226E-5</v>
      </c>
      <c r="C54" s="181">
        <f>B54*Bamboo!$C$12</f>
        <v>3.731943940265449E-3</v>
      </c>
      <c r="D54" s="124">
        <f>HLOOKUP('6 LCA'!S$37,'Water tank'!$H$2:$J$20,12)</f>
        <v>0.25217000000000001</v>
      </c>
      <c r="E54" s="124">
        <f>D54*'Water tank'!$E$21</f>
        <v>6.9912968758284393</v>
      </c>
    </row>
    <row r="55" spans="1:5">
      <c r="A55" s="124" t="s">
        <v>554</v>
      </c>
      <c r="B55" s="181">
        <f>Bamboo!F14</f>
        <v>4.7200000000000002E-3</v>
      </c>
      <c r="C55" s="181">
        <f>B55*Bamboo!$C$12</f>
        <v>1.1647980769214896</v>
      </c>
      <c r="D55" s="124">
        <f>HLOOKUP('6 LCA'!S$37,'Water tank'!$H$2:$J$20,13)</f>
        <v>0.22467999999999999</v>
      </c>
      <c r="E55" s="124">
        <f>D55*'Water tank'!$E$21</f>
        <v>6.2291493122145125</v>
      </c>
    </row>
    <row r="56" spans="1:5">
      <c r="A56" s="124" t="s">
        <v>555</v>
      </c>
      <c r="B56" s="181">
        <f>Bamboo!F15</f>
        <v>1.5065100000000001E-5</v>
      </c>
      <c r="C56" s="181">
        <f>B56*Bamboo!$C$12</f>
        <v>3.717754133184308E-3</v>
      </c>
      <c r="D56" s="124">
        <f>HLOOKUP('6 LCA'!S$37,'Water tank'!$H$2:$J$20,14)</f>
        <v>2.436E-2</v>
      </c>
      <c r="E56" s="124">
        <f>D56*'Water tank'!$E$21</f>
        <v>0.67536975808058364</v>
      </c>
    </row>
    <row r="57" spans="1:5">
      <c r="A57" s="124" t="s">
        <v>556</v>
      </c>
      <c r="B57" s="181">
        <f>Bamboo!F16</f>
        <v>3.7972899999999998E-9</v>
      </c>
      <c r="C57" s="181">
        <f>B57*Bamboo!$C$12</f>
        <v>9.3709239184601759E-7</v>
      </c>
      <c r="D57" s="124">
        <f>HLOOKUP('6 LCA'!S$37,'Water tank'!$H$2:$J$20,15)</f>
        <v>8.1153200000000002E-7</v>
      </c>
      <c r="E57" s="124">
        <f>D57*'Water tank'!$E$21</f>
        <v>2.2499350185330551E-5</v>
      </c>
    </row>
    <row r="58" spans="1:5">
      <c r="A58" s="124" t="s">
        <v>557</v>
      </c>
      <c r="B58" s="181">
        <f>Bamboo!F17</f>
        <v>1.01398E-6</v>
      </c>
      <c r="C58" s="181">
        <f>B58*Bamboo!$C$12</f>
        <v>2.502292275501805E-4</v>
      </c>
      <c r="D58" s="124">
        <f>HLOOKUP('6 LCA'!S$37,'Water tank'!$H$2:$J$20,16)</f>
        <v>4.9899999999999996E-3</v>
      </c>
      <c r="E58" s="124">
        <f>D58*'Water tank'!$E$21</f>
        <v>0.13834544716018524</v>
      </c>
    </row>
    <row r="59" spans="1:5">
      <c r="A59" s="124" t="s">
        <v>558</v>
      </c>
      <c r="B59" s="181">
        <f>Bamboo!F18</f>
        <v>1.8894300000000001E-6</v>
      </c>
      <c r="C59" s="181">
        <f>B59*Bamboo!$C$12</f>
        <v>4.6627212510122251E-4</v>
      </c>
      <c r="D59" s="124">
        <f>HLOOKUP('6 LCA'!S$37,'Water tank'!$H$2:$J$20,17)</f>
        <v>7.9699999999999997E-3</v>
      </c>
      <c r="E59" s="124">
        <f>D59*'Water tank'!$E$21</f>
        <v>0.22096457191716959</v>
      </c>
    </row>
    <row r="60" spans="1:5">
      <c r="A60" s="124" t="s">
        <v>559</v>
      </c>
      <c r="B60" s="181">
        <f>Bamboo!F19</f>
        <v>2.0546000000000002E-6</v>
      </c>
      <c r="C60" s="181">
        <f>B60*Bamboo!$C$12</f>
        <v>5.0703265441586712E-4</v>
      </c>
      <c r="D60" s="124">
        <f>HLOOKUP('6 LCA'!S$37,'Water tank'!$H$2:$J$20,18)</f>
        <v>8.4499999999999992E-3</v>
      </c>
      <c r="E60" s="124">
        <f>D60*'Water tank'!$E$21</f>
        <v>0.23427235040151606</v>
      </c>
    </row>
    <row r="61" spans="1:5">
      <c r="A61" s="124" t="s">
        <v>560</v>
      </c>
      <c r="B61" s="181">
        <f>Bamboo!F20</f>
        <v>1.3478E-5</v>
      </c>
      <c r="C61" s="181">
        <f>B61*Bamboo!$C$12</f>
        <v>3.3260907798194571E-3</v>
      </c>
      <c r="D61" s="124">
        <f>HLOOKUP('6 LCA'!S$37,'Water tank'!$H$2:$J$20,19)</f>
        <v>3.0620000000000001E-2</v>
      </c>
      <c r="E61" s="124">
        <f>D61*'Water tank'!$E$21</f>
        <v>0.84892536914726902</v>
      </c>
    </row>
  </sheetData>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D1CD1-5DF4-4A57-8E85-1FA090808600}">
  <sheetPr codeName="Sheet19"/>
  <dimension ref="A1:P42"/>
  <sheetViews>
    <sheetView workbookViewId="0">
      <selection activeCell="J29" sqref="J29"/>
    </sheetView>
  </sheetViews>
  <sheetFormatPr baseColWidth="10" defaultColWidth="8.85546875" defaultRowHeight="15"/>
  <cols>
    <col min="1" max="6" width="8.85546875" style="124"/>
    <col min="7" max="7" width="102.5703125" style="124" bestFit="1" customWidth="1"/>
    <col min="8" max="16384" width="8.85546875" style="124"/>
  </cols>
  <sheetData>
    <row r="1" spans="1:10">
      <c r="A1" s="124" t="s">
        <v>707</v>
      </c>
      <c r="B1" s="124" t="s">
        <v>658</v>
      </c>
      <c r="C1" s="124" t="s">
        <v>662</v>
      </c>
      <c r="D1" s="124" t="s">
        <v>22</v>
      </c>
      <c r="E1" s="124" t="s">
        <v>141</v>
      </c>
      <c r="G1" s="124" t="s">
        <v>708</v>
      </c>
      <c r="H1" s="124" t="s">
        <v>401</v>
      </c>
      <c r="I1" s="124" t="s">
        <v>437</v>
      </c>
      <c r="J1" s="124" t="s">
        <v>587</v>
      </c>
    </row>
    <row r="2" spans="1:10">
      <c r="A2" s="124" t="s">
        <v>437</v>
      </c>
      <c r="B2" s="124">
        <v>-1.78</v>
      </c>
      <c r="C2" s="124">
        <v>0.8</v>
      </c>
      <c r="D2" s="124">
        <f>B2+C2</f>
        <v>-0.98</v>
      </c>
      <c r="E2" s="124">
        <v>720</v>
      </c>
      <c r="G2" s="124" t="s">
        <v>543</v>
      </c>
      <c r="H2" s="124">
        <v>1.8799999999999999E-3</v>
      </c>
      <c r="J2" s="124" t="s">
        <v>590</v>
      </c>
    </row>
    <row r="3" spans="1:10">
      <c r="A3" s="124" t="s">
        <v>401</v>
      </c>
      <c r="B3" s="124">
        <v>0</v>
      </c>
      <c r="C3" s="124">
        <f>H3</f>
        <v>0.59958</v>
      </c>
      <c r="D3" s="124">
        <f>B3+C3</f>
        <v>0.59958</v>
      </c>
      <c r="E3" s="124">
        <v>1150</v>
      </c>
      <c r="G3" s="124" t="s">
        <v>544</v>
      </c>
      <c r="H3" s="124">
        <v>0.59958</v>
      </c>
      <c r="I3" s="124">
        <f>C2</f>
        <v>0.8</v>
      </c>
      <c r="J3" s="124" t="s">
        <v>591</v>
      </c>
    </row>
    <row r="4" spans="1:10">
      <c r="D4" s="124" t="s">
        <v>641</v>
      </c>
      <c r="E4" s="124">
        <f>VLOOKUP('6 LCA'!$E$13,Ecoboards!A2:E3,5,FALSE)</f>
        <v>1150</v>
      </c>
      <c r="G4" s="124" t="s">
        <v>545</v>
      </c>
      <c r="H4" s="124">
        <v>1.3339999999999999E-2</v>
      </c>
      <c r="J4" s="124" t="s">
        <v>592</v>
      </c>
    </row>
    <row r="5" spans="1:10">
      <c r="G5" s="124" t="s">
        <v>546</v>
      </c>
      <c r="H5" s="124">
        <v>1.865E-2</v>
      </c>
      <c r="J5" s="124" t="s">
        <v>592</v>
      </c>
    </row>
    <row r="6" spans="1:10">
      <c r="G6" s="124" t="s">
        <v>547</v>
      </c>
      <c r="H6" s="124">
        <v>2.06473</v>
      </c>
      <c r="J6" s="124" t="s">
        <v>592</v>
      </c>
    </row>
    <row r="7" spans="1:10">
      <c r="G7" s="124" t="s">
        <v>548</v>
      </c>
      <c r="H7" s="124">
        <v>0.15756000000000001</v>
      </c>
      <c r="J7" s="124" t="s">
        <v>593</v>
      </c>
    </row>
    <row r="8" spans="1:10">
      <c r="G8" s="124" t="s">
        <v>549</v>
      </c>
      <c r="H8" s="124">
        <v>1.9000000000000001E-4</v>
      </c>
      <c r="J8" s="124" t="s">
        <v>594</v>
      </c>
    </row>
    <row r="9" spans="1:10">
      <c r="G9" s="124" t="s">
        <v>550</v>
      </c>
      <c r="H9" s="181">
        <v>1.7646200000000001E-5</v>
      </c>
      <c r="I9" s="181"/>
      <c r="J9" s="124" t="s">
        <v>595</v>
      </c>
    </row>
    <row r="10" spans="1:10">
      <c r="G10" s="124" t="s">
        <v>551</v>
      </c>
      <c r="H10" s="124">
        <v>3.2640000000000002E-2</v>
      </c>
      <c r="J10" s="124" t="s">
        <v>592</v>
      </c>
    </row>
    <row r="11" spans="1:10">
      <c r="G11" s="124" t="s">
        <v>552</v>
      </c>
      <c r="H11" s="124">
        <v>0.39299000000000001</v>
      </c>
      <c r="J11" s="124" t="s">
        <v>592</v>
      </c>
    </row>
    <row r="12" spans="1:10">
      <c r="G12" s="124" t="s">
        <v>553</v>
      </c>
      <c r="H12" s="124">
        <v>3.4889999999999997E-2</v>
      </c>
      <c r="J12" s="124" t="s">
        <v>596</v>
      </c>
    </row>
    <row r="13" spans="1:10">
      <c r="G13" s="124" t="s">
        <v>554</v>
      </c>
      <c r="H13" s="124">
        <v>3.3649999999999999E-2</v>
      </c>
      <c r="J13" s="124" t="s">
        <v>597</v>
      </c>
    </row>
    <row r="14" spans="1:10">
      <c r="G14" s="124" t="s">
        <v>555</v>
      </c>
      <c r="H14" s="124">
        <v>3.3800000000000002E-3</v>
      </c>
      <c r="J14" s="124" t="s">
        <v>598</v>
      </c>
    </row>
    <row r="15" spans="1:10">
      <c r="G15" s="124" t="s">
        <v>556</v>
      </c>
      <c r="H15" s="181">
        <v>1.6661400000000001E-7</v>
      </c>
      <c r="I15" s="181"/>
      <c r="J15" s="124" t="s">
        <v>599</v>
      </c>
    </row>
    <row r="16" spans="1:10">
      <c r="G16" s="124" t="s">
        <v>557</v>
      </c>
      <c r="H16" s="124">
        <v>1.15E-3</v>
      </c>
      <c r="J16" s="124" t="s">
        <v>600</v>
      </c>
    </row>
    <row r="17" spans="7:16">
      <c r="G17" s="124" t="s">
        <v>558</v>
      </c>
      <c r="H17" s="124">
        <v>1.6299999999999999E-3</v>
      </c>
      <c r="J17" s="124" t="s">
        <v>601</v>
      </c>
    </row>
    <row r="18" spans="7:16">
      <c r="G18" s="124" t="s">
        <v>559</v>
      </c>
      <c r="H18" s="124">
        <v>1.6800000000000001E-3</v>
      </c>
      <c r="J18" s="124" t="s">
        <v>601</v>
      </c>
    </row>
    <row r="19" spans="7:16">
      <c r="G19" s="124" t="s">
        <v>560</v>
      </c>
      <c r="H19" s="124">
        <v>9.8700000000000003E-3</v>
      </c>
      <c r="J19" s="124" t="s">
        <v>105</v>
      </c>
    </row>
    <row r="23" spans="7:16">
      <c r="H23" s="124" t="s">
        <v>405</v>
      </c>
      <c r="L23" s="124" t="s">
        <v>709</v>
      </c>
      <c r="M23" s="124" t="s">
        <v>105</v>
      </c>
      <c r="N23" s="124" t="s">
        <v>710</v>
      </c>
      <c r="O23" s="124" t="s">
        <v>711</v>
      </c>
      <c r="P23" s="124" t="s">
        <v>712</v>
      </c>
    </row>
    <row r="24" spans="7:16">
      <c r="G24" s="124" t="s">
        <v>713</v>
      </c>
      <c r="H24" s="124" t="s">
        <v>714</v>
      </c>
      <c r="I24" s="124" t="s">
        <v>715</v>
      </c>
      <c r="L24" s="124">
        <f>18/1000</f>
        <v>1.7999999999999999E-2</v>
      </c>
      <c r="M24" s="124">
        <f>5.76*L24</f>
        <v>0.10367999999999999</v>
      </c>
      <c r="N24" s="124">
        <v>500</v>
      </c>
      <c r="O24" s="124">
        <f>M24*N24</f>
        <v>51.839999999999996</v>
      </c>
      <c r="P24" s="124">
        <f>1.833*N24</f>
        <v>916.5</v>
      </c>
    </row>
    <row r="25" spans="7:16">
      <c r="G25" s="124" t="s">
        <v>543</v>
      </c>
      <c r="H25" s="124">
        <v>0.11422</v>
      </c>
      <c r="I25" s="124">
        <f>H25/5.76</f>
        <v>1.9829861111111111E-2</v>
      </c>
      <c r="J25" s="124" t="s">
        <v>590</v>
      </c>
    </row>
    <row r="26" spans="7:16">
      <c r="G26" s="124" t="s">
        <v>544</v>
      </c>
      <c r="H26" s="124">
        <v>28.301300000000001</v>
      </c>
      <c r="I26" s="124">
        <f t="shared" ref="I26:I42" si="0">H26/5.76</f>
        <v>4.9134201388888892</v>
      </c>
      <c r="J26" s="124" t="s">
        <v>591</v>
      </c>
      <c r="L26" s="124">
        <f>M24*P24</f>
        <v>95.022719999999993</v>
      </c>
    </row>
    <row r="27" spans="7:16">
      <c r="G27" s="124" t="s">
        <v>545</v>
      </c>
      <c r="H27" s="124">
        <v>0.81674999999999998</v>
      </c>
      <c r="I27" s="124">
        <f t="shared" si="0"/>
        <v>0.14179687499999999</v>
      </c>
      <c r="J27" s="124" t="s">
        <v>592</v>
      </c>
    </row>
    <row r="28" spans="7:16">
      <c r="G28" s="124" t="s">
        <v>546</v>
      </c>
      <c r="H28" s="124">
        <v>1.1225000000000001</v>
      </c>
      <c r="I28" s="124">
        <f t="shared" si="0"/>
        <v>0.19487847222222224</v>
      </c>
      <c r="J28" s="124" t="s">
        <v>592</v>
      </c>
    </row>
    <row r="29" spans="7:16">
      <c r="G29" s="124" t="s">
        <v>547</v>
      </c>
      <c r="H29" s="124">
        <v>100.08557</v>
      </c>
      <c r="I29" s="124">
        <f t="shared" si="0"/>
        <v>17.375967013888889</v>
      </c>
      <c r="J29" s="124" t="s">
        <v>592</v>
      </c>
    </row>
    <row r="30" spans="7:16">
      <c r="G30" s="124" t="s">
        <v>548</v>
      </c>
      <c r="H30" s="124">
        <v>7.6304499999999997</v>
      </c>
      <c r="I30" s="124">
        <f t="shared" si="0"/>
        <v>1.3247309027777778</v>
      </c>
      <c r="J30" s="124" t="s">
        <v>593</v>
      </c>
    </row>
    <row r="31" spans="7:16">
      <c r="G31" s="124" t="s">
        <v>549</v>
      </c>
      <c r="H31" s="124">
        <v>1.072E-2</v>
      </c>
      <c r="I31" s="124">
        <f t="shared" si="0"/>
        <v>1.8611111111111113E-3</v>
      </c>
      <c r="J31" s="124" t="s">
        <v>594</v>
      </c>
    </row>
    <row r="32" spans="7:16">
      <c r="G32" s="124" t="s">
        <v>550</v>
      </c>
      <c r="H32" s="124">
        <v>1.42E-3</v>
      </c>
      <c r="I32" s="124">
        <f t="shared" si="0"/>
        <v>2.465277777777778E-4</v>
      </c>
      <c r="J32" s="124" t="s">
        <v>595</v>
      </c>
    </row>
    <row r="33" spans="7:10">
      <c r="G33" s="124" t="s">
        <v>551</v>
      </c>
      <c r="H33" s="124">
        <v>2.0440499999999999</v>
      </c>
      <c r="I33" s="124">
        <f t="shared" si="0"/>
        <v>0.35486979166666666</v>
      </c>
      <c r="J33" s="124" t="s">
        <v>592</v>
      </c>
    </row>
    <row r="34" spans="7:10">
      <c r="G34" s="124" t="s">
        <v>552</v>
      </c>
      <c r="H34" s="124">
        <v>23.73142</v>
      </c>
      <c r="I34" s="124">
        <f t="shared" si="0"/>
        <v>4.1200381944444446</v>
      </c>
      <c r="J34" s="124" t="s">
        <v>592</v>
      </c>
    </row>
    <row r="35" spans="7:10">
      <c r="G35" s="124" t="s">
        <v>553</v>
      </c>
      <c r="H35" s="124">
        <v>2.4165800000000002</v>
      </c>
      <c r="I35" s="124">
        <f t="shared" si="0"/>
        <v>0.41954513888888895</v>
      </c>
      <c r="J35" s="124" t="s">
        <v>596</v>
      </c>
    </row>
    <row r="36" spans="7:10">
      <c r="G36" s="124" t="s">
        <v>554</v>
      </c>
      <c r="H36" s="124">
        <v>105.99384000000001</v>
      </c>
      <c r="I36" s="124">
        <f t="shared" si="0"/>
        <v>18.401708333333335</v>
      </c>
      <c r="J36" s="124" t="s">
        <v>597</v>
      </c>
    </row>
    <row r="37" spans="7:10">
      <c r="G37" s="124" t="s">
        <v>555</v>
      </c>
      <c r="H37" s="124">
        <v>0.44373000000000001</v>
      </c>
      <c r="I37" s="124">
        <f t="shared" si="0"/>
        <v>7.7036458333333335E-2</v>
      </c>
      <c r="J37" s="124" t="s">
        <v>598</v>
      </c>
    </row>
    <row r="38" spans="7:10">
      <c r="G38" s="124" t="s">
        <v>556</v>
      </c>
      <c r="H38" s="181">
        <v>1.2298400000000001E-5</v>
      </c>
      <c r="I38" s="124">
        <f t="shared" si="0"/>
        <v>2.1351388888888892E-6</v>
      </c>
      <c r="J38" s="124" t="s">
        <v>599</v>
      </c>
    </row>
    <row r="39" spans="7:10">
      <c r="G39" s="124" t="s">
        <v>557</v>
      </c>
      <c r="H39" s="124">
        <v>6.8839999999999998E-2</v>
      </c>
      <c r="I39" s="124">
        <f t="shared" si="0"/>
        <v>1.195138888888889E-2</v>
      </c>
      <c r="J39" s="124" t="s">
        <v>600</v>
      </c>
    </row>
    <row r="40" spans="7:10">
      <c r="G40" s="124" t="s">
        <v>558</v>
      </c>
      <c r="H40" s="124">
        <v>0.13411999999999999</v>
      </c>
      <c r="I40" s="124">
        <f t="shared" si="0"/>
        <v>2.3284722222222221E-2</v>
      </c>
      <c r="J40" s="124" t="s">
        <v>601</v>
      </c>
    </row>
    <row r="41" spans="7:10">
      <c r="G41" s="124" t="s">
        <v>559</v>
      </c>
      <c r="H41" s="124">
        <v>0.15231</v>
      </c>
      <c r="I41" s="124">
        <f t="shared" si="0"/>
        <v>2.6442708333333335E-2</v>
      </c>
      <c r="J41" s="124" t="s">
        <v>601</v>
      </c>
    </row>
    <row r="42" spans="7:10">
      <c r="G42" s="124" t="s">
        <v>560</v>
      </c>
      <c r="H42" s="124">
        <v>0.23533999999999999</v>
      </c>
      <c r="I42" s="124">
        <f t="shared" si="0"/>
        <v>4.0857638888888888E-2</v>
      </c>
      <c r="J42" s="124" t="s">
        <v>105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7"/>
  </sheetPr>
  <dimension ref="A1:AH1002"/>
  <sheetViews>
    <sheetView showGridLines="0" zoomScaleNormal="100" workbookViewId="0">
      <selection activeCell="B8" sqref="B8"/>
    </sheetView>
  </sheetViews>
  <sheetFormatPr baseColWidth="10" defaultColWidth="14.42578125" defaultRowHeight="15" customHeight="1"/>
  <cols>
    <col min="2" max="2" width="34.5703125" customWidth="1"/>
    <col min="3" max="4" width="10.7109375" customWidth="1"/>
    <col min="5" max="5" width="13.42578125" customWidth="1"/>
    <col min="6" max="34" width="10.7109375" customWidth="1"/>
  </cols>
  <sheetData>
    <row r="1" spans="1:34" ht="14.25" customHeight="1" thickBot="1">
      <c r="A1" s="77"/>
      <c r="B1" s="70"/>
      <c r="C1" s="70"/>
      <c r="D1" s="70"/>
      <c r="E1" s="70"/>
      <c r="F1" s="70"/>
      <c r="G1" s="70"/>
      <c r="H1" s="70"/>
      <c r="I1" s="70"/>
      <c r="J1" s="70"/>
      <c r="K1" s="70"/>
      <c r="L1" s="70"/>
      <c r="M1" s="70"/>
      <c r="N1" s="70"/>
      <c r="O1" s="73"/>
      <c r="P1" s="75"/>
      <c r="Q1" s="2"/>
      <c r="R1" s="2"/>
      <c r="S1" s="2"/>
      <c r="T1" s="2"/>
      <c r="U1" s="2"/>
      <c r="V1" s="2"/>
      <c r="W1" s="2"/>
      <c r="X1" s="2"/>
      <c r="Y1" s="2"/>
      <c r="Z1" s="2"/>
      <c r="AA1" s="2"/>
      <c r="AB1" s="2"/>
      <c r="AC1" s="2"/>
      <c r="AD1" s="2"/>
      <c r="AE1" s="2"/>
      <c r="AF1" s="2"/>
      <c r="AG1" s="2"/>
      <c r="AH1" s="2"/>
    </row>
    <row r="2" spans="1:34" ht="14.25" customHeight="1">
      <c r="A2" s="77"/>
      <c r="B2" s="269"/>
      <c r="C2" s="270"/>
      <c r="D2" s="270"/>
      <c r="E2" s="270"/>
      <c r="F2" s="270"/>
      <c r="G2" s="270"/>
      <c r="H2" s="270"/>
      <c r="I2" s="270"/>
      <c r="J2" s="270"/>
      <c r="K2" s="270"/>
      <c r="L2" s="270"/>
      <c r="M2" s="270"/>
      <c r="N2" s="271"/>
      <c r="O2" s="73"/>
      <c r="P2" s="75"/>
      <c r="Q2" s="2"/>
      <c r="R2" s="2"/>
      <c r="S2" s="2"/>
      <c r="T2" s="2"/>
      <c r="U2" s="2"/>
      <c r="V2" s="2"/>
      <c r="W2" s="2"/>
      <c r="X2" s="2"/>
      <c r="Y2" s="2"/>
      <c r="Z2" s="2"/>
      <c r="AA2" s="2"/>
      <c r="AB2" s="2"/>
      <c r="AC2" s="2"/>
      <c r="AD2" s="2"/>
      <c r="AE2" s="2"/>
      <c r="AF2" s="2"/>
      <c r="AG2" s="2"/>
      <c r="AH2" s="2"/>
    </row>
    <row r="3" spans="1:34" ht="14.25" customHeight="1">
      <c r="A3" s="77"/>
      <c r="B3" s="272"/>
      <c r="C3" s="73"/>
      <c r="D3" s="73"/>
      <c r="E3" s="360" t="str">
        <f>Translation!B30</f>
        <v>1. Geographic Data</v>
      </c>
      <c r="F3" s="330"/>
      <c r="G3" s="330"/>
      <c r="H3" s="330"/>
      <c r="I3" s="330"/>
      <c r="J3" s="330"/>
      <c r="K3" s="73"/>
      <c r="L3" s="73"/>
      <c r="M3" s="73"/>
      <c r="N3" s="273"/>
      <c r="O3" s="73"/>
      <c r="P3" s="75"/>
      <c r="Q3" s="2"/>
      <c r="R3" s="2"/>
      <c r="S3" s="2"/>
      <c r="T3" s="2"/>
      <c r="U3" s="2"/>
      <c r="V3" s="2"/>
      <c r="W3" s="2"/>
      <c r="X3" s="2"/>
      <c r="Y3" s="2"/>
      <c r="Z3" s="2"/>
      <c r="AA3" s="2"/>
      <c r="AB3" s="2"/>
      <c r="AC3" s="2"/>
      <c r="AD3" s="2"/>
      <c r="AE3" s="2"/>
      <c r="AF3" s="2"/>
      <c r="AG3" s="2"/>
      <c r="AH3" s="2"/>
    </row>
    <row r="4" spans="1:34" ht="14.25" customHeight="1">
      <c r="A4" s="77"/>
      <c r="B4" s="272"/>
      <c r="C4" s="73"/>
      <c r="D4" s="73"/>
      <c r="E4" s="73"/>
      <c r="F4" s="73"/>
      <c r="G4" s="73"/>
      <c r="H4" s="73"/>
      <c r="I4" s="73"/>
      <c r="J4" s="73"/>
      <c r="K4" s="73"/>
      <c r="L4" s="73"/>
      <c r="M4" s="73"/>
      <c r="N4" s="273"/>
      <c r="O4" s="73"/>
      <c r="P4" s="75"/>
      <c r="Q4" s="2"/>
      <c r="R4" s="2"/>
      <c r="S4" s="2"/>
      <c r="T4" s="2"/>
      <c r="U4" s="2"/>
      <c r="V4" s="2"/>
      <c r="W4" s="2"/>
      <c r="X4" s="2"/>
      <c r="Y4" s="2"/>
      <c r="Z4" s="2"/>
      <c r="AA4" s="2"/>
      <c r="AB4" s="2"/>
      <c r="AC4" s="2"/>
      <c r="AD4" s="2"/>
      <c r="AE4" s="2"/>
      <c r="AF4" s="2"/>
      <c r="AG4" s="2"/>
      <c r="AH4" s="2"/>
    </row>
    <row r="5" spans="1:34" ht="14.25" customHeight="1">
      <c r="A5" s="77"/>
      <c r="B5" s="272"/>
      <c r="C5" s="73"/>
      <c r="D5" s="73"/>
      <c r="E5" s="73"/>
      <c r="F5" s="73"/>
      <c r="G5" s="73"/>
      <c r="H5" s="73"/>
      <c r="I5" s="77"/>
      <c r="J5" s="73"/>
      <c r="K5" s="73"/>
      <c r="L5" s="73"/>
      <c r="M5" s="73"/>
      <c r="N5" s="273"/>
      <c r="O5" s="73"/>
      <c r="P5" s="75"/>
      <c r="Q5" s="75"/>
      <c r="R5" s="75"/>
      <c r="S5" s="75"/>
      <c r="T5" s="75"/>
      <c r="U5" s="75"/>
      <c r="V5" s="75"/>
      <c r="W5" s="75"/>
      <c r="X5" s="75"/>
      <c r="Y5" s="75"/>
      <c r="Z5" s="75"/>
      <c r="AA5" s="75"/>
      <c r="AB5" s="75"/>
      <c r="AC5" s="75"/>
      <c r="AD5" s="75"/>
      <c r="AE5" s="75"/>
      <c r="AF5" s="75"/>
      <c r="AG5" s="75"/>
      <c r="AH5" s="75"/>
    </row>
    <row r="6" spans="1:34" ht="14.25" customHeight="1">
      <c r="A6" s="77"/>
      <c r="B6" s="272"/>
      <c r="C6" s="73"/>
      <c r="D6" s="73"/>
      <c r="E6" s="73"/>
      <c r="F6" s="73"/>
      <c r="G6" s="73"/>
      <c r="H6" s="73"/>
      <c r="I6" s="73"/>
      <c r="J6" s="73"/>
      <c r="K6" s="73"/>
      <c r="L6" s="73"/>
      <c r="M6" s="73"/>
      <c r="N6" s="273"/>
      <c r="O6" s="73"/>
      <c r="P6" s="75"/>
      <c r="Q6" s="75"/>
      <c r="R6" s="75"/>
      <c r="S6" s="75"/>
      <c r="T6" s="75"/>
      <c r="U6" s="75"/>
      <c r="V6" s="75"/>
      <c r="W6" s="75"/>
      <c r="X6" s="75"/>
      <c r="Y6" s="75"/>
      <c r="Z6" s="75"/>
      <c r="AA6" s="75"/>
      <c r="AB6" s="75"/>
      <c r="AC6" s="75"/>
      <c r="AD6" s="75"/>
      <c r="AE6" s="75"/>
      <c r="AF6" s="75"/>
      <c r="AG6" s="75"/>
      <c r="AH6" s="75"/>
    </row>
    <row r="7" spans="1:34" ht="14.25" customHeight="1" thickBot="1">
      <c r="A7" s="77"/>
      <c r="B7" s="274" t="str">
        <f>Translation!B46</f>
        <v>Choose location:</v>
      </c>
      <c r="C7" s="73"/>
      <c r="D7" s="73"/>
      <c r="E7" s="73"/>
      <c r="F7" s="73"/>
      <c r="G7" s="73"/>
      <c r="H7" s="73"/>
      <c r="I7" s="73"/>
      <c r="J7" s="73"/>
      <c r="K7" s="73"/>
      <c r="L7" s="73"/>
      <c r="M7" s="73"/>
      <c r="N7" s="273"/>
      <c r="O7" s="73"/>
      <c r="P7" s="75"/>
      <c r="Q7" s="2"/>
      <c r="R7" s="2"/>
      <c r="S7" s="2"/>
      <c r="T7" s="2"/>
      <c r="U7" s="2"/>
      <c r="V7" s="2"/>
      <c r="W7" s="2"/>
      <c r="X7" s="2"/>
      <c r="Y7" s="2"/>
      <c r="Z7" s="2"/>
      <c r="AA7" s="2"/>
      <c r="AB7" s="2"/>
      <c r="AC7" s="2"/>
      <c r="AD7" s="2"/>
      <c r="AE7" s="2"/>
      <c r="AF7" s="2"/>
      <c r="AG7" s="2"/>
      <c r="AH7" s="2"/>
    </row>
    <row r="8" spans="1:34" ht="14.25" customHeight="1" thickBot="1">
      <c r="A8" s="77"/>
      <c r="B8" s="275" t="s">
        <v>838</v>
      </c>
      <c r="C8" s="73"/>
      <c r="D8" s="73"/>
      <c r="E8" s="73"/>
      <c r="F8" s="73"/>
      <c r="G8" s="73"/>
      <c r="H8" s="73"/>
      <c r="I8" s="73"/>
      <c r="J8" s="73"/>
      <c r="K8" s="73"/>
      <c r="L8" s="73"/>
      <c r="M8" s="73"/>
      <c r="N8" s="273"/>
      <c r="O8" s="73"/>
      <c r="P8" s="75"/>
      <c r="Q8" s="2"/>
      <c r="R8" s="2"/>
      <c r="S8" s="2"/>
      <c r="T8" s="2"/>
      <c r="U8" s="2"/>
      <c r="V8" s="2"/>
      <c r="W8" s="2"/>
      <c r="X8" s="2"/>
      <c r="Y8" s="2"/>
      <c r="Z8" s="2"/>
      <c r="AA8" s="2"/>
      <c r="AB8" s="2"/>
      <c r="AC8" s="2"/>
      <c r="AD8" s="2"/>
      <c r="AE8" s="2"/>
      <c r="AF8" s="2"/>
      <c r="AG8" s="2"/>
      <c r="AH8" s="2"/>
    </row>
    <row r="9" spans="1:34" ht="14.25" customHeight="1">
      <c r="A9" s="77"/>
      <c r="B9" s="272"/>
      <c r="C9" s="74" t="str">
        <f>Translation!B33</f>
        <v>January</v>
      </c>
      <c r="D9" s="74" t="str">
        <f>Translation!B34</f>
        <v>February</v>
      </c>
      <c r="E9" s="74" t="str">
        <f>Translation!B35</f>
        <v>March</v>
      </c>
      <c r="F9" s="74" t="str">
        <f>Translation!B36</f>
        <v>April</v>
      </c>
      <c r="G9" s="74" t="str">
        <f>Translation!B37</f>
        <v>May</v>
      </c>
      <c r="H9" s="74" t="str">
        <f>Translation!B38</f>
        <v>June</v>
      </c>
      <c r="I9" s="74" t="str">
        <f>Translation!B39</f>
        <v>July</v>
      </c>
      <c r="J9" s="74" t="str">
        <f>Translation!B40</f>
        <v>August</v>
      </c>
      <c r="K9" s="74" t="str">
        <f>Translation!B41</f>
        <v>September</v>
      </c>
      <c r="L9" s="74" t="str">
        <f>Translation!B42</f>
        <v>October</v>
      </c>
      <c r="M9" s="74" t="str">
        <f>Translation!B43</f>
        <v>November</v>
      </c>
      <c r="N9" s="276" t="str">
        <f>Translation!B44</f>
        <v>December</v>
      </c>
      <c r="O9" s="73"/>
      <c r="P9" s="75"/>
      <c r="Q9" s="2"/>
      <c r="R9" s="2"/>
      <c r="S9" s="2"/>
      <c r="T9" s="2"/>
      <c r="U9" s="2"/>
      <c r="V9" s="2"/>
      <c r="W9" s="2"/>
      <c r="X9" s="2"/>
      <c r="Y9" s="2"/>
      <c r="Z9" s="2"/>
      <c r="AA9" s="2"/>
      <c r="AB9" s="2"/>
      <c r="AC9" s="2"/>
      <c r="AD9" s="2"/>
      <c r="AE9" s="2"/>
      <c r="AF9" s="2"/>
      <c r="AG9" s="2"/>
      <c r="AH9" s="2"/>
    </row>
    <row r="10" spans="1:34" ht="14.25" customHeight="1">
      <c r="A10" s="77"/>
      <c r="B10" s="274" t="str">
        <f>Translation!B31</f>
        <v>Mean daily temperature [°C]:</v>
      </c>
      <c r="C10" s="72">
        <f>'5 Weather Data'!C6</f>
        <v>22.7</v>
      </c>
      <c r="D10" s="72">
        <f>'5 Weather Data'!D6</f>
        <v>23.5</v>
      </c>
      <c r="E10" s="72">
        <f>'5 Weather Data'!E6</f>
        <v>21.1</v>
      </c>
      <c r="F10" s="72">
        <f>'5 Weather Data'!F6</f>
        <v>21.1</v>
      </c>
      <c r="G10" s="72">
        <f>'5 Weather Data'!G6</f>
        <v>22</v>
      </c>
      <c r="H10" s="72">
        <f>'5 Weather Data'!H6</f>
        <v>21.3</v>
      </c>
      <c r="I10" s="72">
        <f>'5 Weather Data'!I6</f>
        <v>21.7</v>
      </c>
      <c r="J10" s="72">
        <f>'5 Weather Data'!J6</f>
        <v>23</v>
      </c>
      <c r="K10" s="72">
        <f>'5 Weather Data'!K6</f>
        <v>22</v>
      </c>
      <c r="L10" s="72">
        <f>'5 Weather Data'!L6</f>
        <v>22.5</v>
      </c>
      <c r="M10" s="72">
        <f>'5 Weather Data'!M6</f>
        <v>20.9</v>
      </c>
      <c r="N10" s="277">
        <f>'5 Weather Data'!N6</f>
        <v>20.8</v>
      </c>
      <c r="O10" s="73"/>
      <c r="P10" s="75"/>
      <c r="Q10" s="2"/>
      <c r="R10" s="2"/>
      <c r="S10" s="2"/>
      <c r="T10" s="2"/>
      <c r="U10" s="2"/>
      <c r="V10" s="2"/>
      <c r="W10" s="2"/>
      <c r="X10" s="2"/>
      <c r="Y10" s="2"/>
      <c r="Z10" s="2"/>
      <c r="AA10" s="2"/>
      <c r="AB10" s="2"/>
      <c r="AC10" s="2"/>
      <c r="AD10" s="2"/>
      <c r="AE10" s="2"/>
      <c r="AF10" s="2"/>
      <c r="AG10" s="2"/>
      <c r="AH10" s="2"/>
    </row>
    <row r="11" spans="1:34" ht="14.25" customHeight="1">
      <c r="A11" s="77"/>
      <c r="B11" s="274" t="str">
        <f>Translation!B32</f>
        <v>Solar irradiation [kWh/m² day]:</v>
      </c>
      <c r="C11" s="72">
        <f>'5 Weather Data'!C7</f>
        <v>6.7983870967741939</v>
      </c>
      <c r="D11" s="72">
        <f>'5 Weather Data'!D7</f>
        <v>7.2350000000000003</v>
      </c>
      <c r="E11" s="72">
        <f>'5 Weather Data'!E7</f>
        <v>5.9770967741935479</v>
      </c>
      <c r="F11" s="72">
        <f>'5 Weather Data'!F7</f>
        <v>5.9293333333333331</v>
      </c>
      <c r="G11" s="72">
        <f>'5 Weather Data'!G7</f>
        <v>6.3945161290322581</v>
      </c>
      <c r="H11" s="72">
        <f>'5 Weather Data'!H7</f>
        <v>5.5709999999999997</v>
      </c>
      <c r="I11" s="72">
        <f>'5 Weather Data'!I7</f>
        <v>6.1029032258064513</v>
      </c>
      <c r="J11" s="72">
        <f>'5 Weather Data'!J7</f>
        <v>6.2412903225806451</v>
      </c>
      <c r="K11" s="72">
        <f>'5 Weather Data'!K7</f>
        <v>6.3456666666666672</v>
      </c>
      <c r="L11" s="72">
        <f>'5 Weather Data'!L7</f>
        <v>6.2751612903225809</v>
      </c>
      <c r="M11" s="72">
        <f>'5 Weather Data'!M7</f>
        <v>5.6116666666666664</v>
      </c>
      <c r="N11" s="277">
        <f>'5 Weather Data'!N7</f>
        <v>6.3029032258064515</v>
      </c>
      <c r="O11" s="73"/>
      <c r="P11" s="75"/>
      <c r="Q11" s="2"/>
      <c r="R11" s="2"/>
      <c r="S11" s="2"/>
      <c r="T11" s="2"/>
      <c r="U11" s="2"/>
      <c r="V11" s="2"/>
      <c r="W11" s="2"/>
      <c r="X11" s="2"/>
      <c r="Y11" s="2"/>
      <c r="Z11" s="2"/>
      <c r="AA11" s="2"/>
      <c r="AB11" s="2"/>
      <c r="AC11" s="2"/>
      <c r="AD11" s="2"/>
      <c r="AE11" s="2"/>
      <c r="AF11" s="2"/>
      <c r="AG11" s="2"/>
      <c r="AH11" s="2"/>
    </row>
    <row r="12" spans="1:34" ht="14.25" customHeight="1">
      <c r="A12" s="77"/>
      <c r="B12" s="272"/>
      <c r="C12" s="73"/>
      <c r="D12" s="73"/>
      <c r="E12" s="73"/>
      <c r="F12" s="73"/>
      <c r="G12" s="73"/>
      <c r="H12" s="73"/>
      <c r="I12" s="73"/>
      <c r="J12" s="73"/>
      <c r="K12" s="73"/>
      <c r="L12" s="73"/>
      <c r="M12" s="73"/>
      <c r="N12" s="273"/>
      <c r="O12" s="73"/>
      <c r="P12" s="75"/>
      <c r="Q12" s="2"/>
      <c r="R12" s="2"/>
      <c r="S12" s="2"/>
      <c r="T12" s="2"/>
      <c r="U12" s="2"/>
      <c r="V12" s="2"/>
      <c r="W12" s="2"/>
      <c r="X12" s="2"/>
      <c r="Y12" s="2"/>
      <c r="Z12" s="2"/>
      <c r="AA12" s="2"/>
      <c r="AB12" s="2"/>
      <c r="AC12" s="2"/>
      <c r="AD12" s="2"/>
      <c r="AE12" s="2"/>
      <c r="AF12" s="2"/>
      <c r="AG12" s="2"/>
      <c r="AH12" s="2"/>
    </row>
    <row r="13" spans="1:34" ht="14.25" customHeight="1">
      <c r="A13" s="77"/>
      <c r="B13" s="272" t="str">
        <f>Translation!B47</f>
        <v>Use to obtain indicative monthly irradiation and temperature data for the site:</v>
      </c>
      <c r="C13" s="73"/>
      <c r="D13" s="73"/>
      <c r="E13" s="73"/>
      <c r="F13" s="278" t="s">
        <v>3</v>
      </c>
      <c r="G13" s="73"/>
      <c r="H13" s="73"/>
      <c r="I13" s="361"/>
      <c r="J13" s="330"/>
      <c r="K13" s="361"/>
      <c r="L13" s="330"/>
      <c r="M13" s="330"/>
      <c r="N13" s="362"/>
      <c r="O13" s="73"/>
      <c r="P13" s="75"/>
      <c r="Q13" s="2"/>
      <c r="R13" s="2"/>
      <c r="S13" s="2"/>
      <c r="T13" s="2"/>
      <c r="U13" s="2"/>
      <c r="V13" s="2"/>
      <c r="W13" s="2"/>
      <c r="X13" s="2"/>
      <c r="Y13" s="2"/>
      <c r="Z13" s="2"/>
      <c r="AA13" s="2"/>
      <c r="AB13" s="2"/>
      <c r="AC13" s="2"/>
      <c r="AD13" s="2"/>
      <c r="AE13" s="2"/>
      <c r="AF13" s="2"/>
      <c r="AG13" s="2"/>
      <c r="AH13" s="2"/>
    </row>
    <row r="14" spans="1:34" ht="14.25" customHeight="1">
      <c r="A14" s="77"/>
      <c r="B14" s="272"/>
      <c r="C14" s="73"/>
      <c r="D14" s="73"/>
      <c r="E14" s="73"/>
      <c r="F14" s="73"/>
      <c r="G14" s="73"/>
      <c r="H14" s="73"/>
      <c r="I14" s="73"/>
      <c r="J14" s="73"/>
      <c r="K14" s="73"/>
      <c r="L14" s="73"/>
      <c r="M14" s="73"/>
      <c r="N14" s="273"/>
      <c r="O14" s="73"/>
      <c r="P14" s="75"/>
      <c r="Q14" s="2"/>
      <c r="R14" s="2"/>
      <c r="S14" s="2"/>
      <c r="T14" s="2"/>
      <c r="U14" s="2"/>
      <c r="V14" s="2"/>
      <c r="W14" s="2"/>
      <c r="X14" s="2"/>
      <c r="Y14" s="2"/>
      <c r="Z14" s="2"/>
      <c r="AA14" s="2"/>
      <c r="AB14" s="2"/>
      <c r="AC14" s="2"/>
      <c r="AD14" s="2"/>
      <c r="AE14" s="2"/>
      <c r="AF14" s="2"/>
      <c r="AG14" s="2"/>
      <c r="AH14" s="2"/>
    </row>
    <row r="15" spans="1:34" ht="14.25" customHeight="1">
      <c r="A15" s="77"/>
      <c r="B15" s="272" t="str">
        <f>Translation!B45</f>
        <v>Locations can be added on the sheet "Weather Data"</v>
      </c>
      <c r="C15" s="73"/>
      <c r="D15" s="73"/>
      <c r="E15" s="73"/>
      <c r="F15" s="73"/>
      <c r="G15" s="73"/>
      <c r="H15" s="73"/>
      <c r="I15" s="73"/>
      <c r="J15" s="73"/>
      <c r="K15" s="73"/>
      <c r="L15" s="73"/>
      <c r="M15" s="73"/>
      <c r="N15" s="273"/>
      <c r="O15" s="73"/>
      <c r="P15" s="75"/>
      <c r="Q15" s="2"/>
      <c r="R15" s="2"/>
      <c r="S15" s="2"/>
      <c r="T15" s="2"/>
      <c r="U15" s="2"/>
      <c r="V15" s="2"/>
      <c r="W15" s="2"/>
      <c r="X15" s="2"/>
      <c r="Y15" s="2"/>
      <c r="Z15" s="2"/>
      <c r="AA15" s="2"/>
      <c r="AB15" s="2"/>
      <c r="AC15" s="2"/>
      <c r="AD15" s="2"/>
      <c r="AE15" s="2"/>
      <c r="AF15" s="2"/>
      <c r="AG15" s="2"/>
      <c r="AH15" s="2"/>
    </row>
    <row r="16" spans="1:34" ht="14.25" customHeight="1">
      <c r="A16" s="77"/>
      <c r="B16" s="272"/>
      <c r="C16" s="73"/>
      <c r="D16" s="73"/>
      <c r="E16" s="73"/>
      <c r="F16" s="73"/>
      <c r="G16" s="73"/>
      <c r="H16" s="73"/>
      <c r="I16" s="73"/>
      <c r="J16" s="73"/>
      <c r="K16" s="73"/>
      <c r="L16" s="73"/>
      <c r="M16" s="73"/>
      <c r="N16" s="273"/>
      <c r="O16" s="73"/>
      <c r="P16" s="75"/>
      <c r="Q16" s="2"/>
      <c r="R16" s="2"/>
      <c r="S16" s="2"/>
      <c r="T16" s="2"/>
      <c r="U16" s="2"/>
      <c r="V16" s="2"/>
      <c r="W16" s="2"/>
      <c r="X16" s="2"/>
      <c r="Y16" s="2"/>
      <c r="Z16" s="2"/>
      <c r="AA16" s="2"/>
      <c r="AB16" s="2"/>
      <c r="AC16" s="2"/>
      <c r="AD16" s="2"/>
      <c r="AE16" s="2"/>
      <c r="AF16" s="2"/>
      <c r="AG16" s="2"/>
      <c r="AH16" s="2"/>
    </row>
    <row r="17" spans="1:34" ht="14.25" customHeight="1">
      <c r="A17" s="77"/>
      <c r="B17" s="272"/>
      <c r="C17" s="73"/>
      <c r="D17" s="73"/>
      <c r="E17" s="73"/>
      <c r="F17" s="73"/>
      <c r="G17" s="73"/>
      <c r="H17" s="73"/>
      <c r="I17" s="73"/>
      <c r="J17" s="73"/>
      <c r="K17" s="73"/>
      <c r="L17" s="73"/>
      <c r="M17" s="73"/>
      <c r="N17" s="273"/>
      <c r="O17" s="73"/>
      <c r="P17" s="75"/>
      <c r="Q17" s="2"/>
      <c r="R17" s="2"/>
      <c r="S17" s="2"/>
      <c r="T17" s="2"/>
      <c r="U17" s="2"/>
      <c r="V17" s="2"/>
      <c r="W17" s="2"/>
      <c r="X17" s="2"/>
      <c r="Y17" s="2"/>
      <c r="Z17" s="2"/>
      <c r="AA17" s="2"/>
      <c r="AB17" s="2"/>
      <c r="AC17" s="2"/>
      <c r="AD17" s="2"/>
      <c r="AE17" s="2"/>
      <c r="AF17" s="2"/>
      <c r="AG17" s="2"/>
      <c r="AH17" s="2"/>
    </row>
    <row r="18" spans="1:34" ht="14.25" customHeight="1">
      <c r="A18" s="77"/>
      <c r="B18" s="272"/>
      <c r="C18" s="73"/>
      <c r="D18" s="73"/>
      <c r="E18" s="73"/>
      <c r="F18" s="73"/>
      <c r="G18" s="73"/>
      <c r="H18" s="73"/>
      <c r="I18" s="73"/>
      <c r="J18" s="73"/>
      <c r="K18" s="73"/>
      <c r="L18" s="73"/>
      <c r="M18" s="73"/>
      <c r="N18" s="273"/>
      <c r="O18" s="73"/>
      <c r="P18" s="75"/>
      <c r="Q18" s="2"/>
      <c r="R18" s="2"/>
      <c r="S18" s="2"/>
      <c r="T18" s="2"/>
      <c r="U18" s="2"/>
      <c r="V18" s="2"/>
      <c r="W18" s="2"/>
      <c r="X18" s="2"/>
      <c r="Y18" s="2"/>
      <c r="Z18" s="2"/>
      <c r="AA18" s="2"/>
      <c r="AB18" s="2"/>
      <c r="AC18" s="2"/>
      <c r="AD18" s="2"/>
      <c r="AE18" s="2"/>
      <c r="AF18" s="2"/>
      <c r="AG18" s="2"/>
      <c r="AH18" s="2"/>
    </row>
    <row r="19" spans="1:34" ht="14.25" customHeight="1">
      <c r="A19" s="77"/>
      <c r="B19" s="272"/>
      <c r="C19" s="73"/>
      <c r="D19" s="73"/>
      <c r="E19" s="73"/>
      <c r="F19" s="73"/>
      <c r="G19" s="73"/>
      <c r="H19" s="73"/>
      <c r="I19" s="73"/>
      <c r="J19" s="73"/>
      <c r="K19" s="73"/>
      <c r="L19" s="73"/>
      <c r="M19" s="73"/>
      <c r="N19" s="273"/>
      <c r="O19" s="73"/>
      <c r="P19" s="75"/>
      <c r="Q19" s="2"/>
      <c r="R19" s="2"/>
      <c r="S19" s="2"/>
      <c r="T19" s="2"/>
      <c r="U19" s="2"/>
      <c r="V19" s="2"/>
      <c r="W19" s="2"/>
      <c r="X19" s="2"/>
      <c r="Y19" s="2"/>
      <c r="Z19" s="2"/>
      <c r="AA19" s="2"/>
      <c r="AB19" s="2"/>
      <c r="AC19" s="2"/>
      <c r="AD19" s="2"/>
      <c r="AE19" s="2"/>
      <c r="AF19" s="2"/>
      <c r="AG19" s="2"/>
      <c r="AH19" s="2"/>
    </row>
    <row r="20" spans="1:34" ht="14.25" customHeight="1">
      <c r="A20" s="77"/>
      <c r="B20" s="272"/>
      <c r="C20" s="73"/>
      <c r="D20" s="73"/>
      <c r="E20" s="73"/>
      <c r="F20" s="73"/>
      <c r="G20" s="73"/>
      <c r="H20" s="73"/>
      <c r="I20" s="73"/>
      <c r="J20" s="73"/>
      <c r="K20" s="73"/>
      <c r="L20" s="73"/>
      <c r="M20" s="73"/>
      <c r="N20" s="273"/>
      <c r="O20" s="73"/>
      <c r="P20" s="75"/>
      <c r="Q20" s="2"/>
      <c r="R20" s="2"/>
      <c r="S20" s="2"/>
      <c r="T20" s="2"/>
      <c r="U20" s="2"/>
      <c r="V20" s="2"/>
      <c r="W20" s="2"/>
      <c r="X20" s="2"/>
      <c r="Y20" s="2"/>
      <c r="Z20" s="2"/>
      <c r="AA20" s="2"/>
      <c r="AB20" s="2"/>
      <c r="AC20" s="2"/>
      <c r="AD20" s="2"/>
      <c r="AE20" s="2"/>
      <c r="AF20" s="2"/>
      <c r="AG20" s="2"/>
      <c r="AH20" s="2"/>
    </row>
    <row r="21" spans="1:34" ht="14.25" customHeight="1">
      <c r="A21" s="77"/>
      <c r="B21" s="272"/>
      <c r="C21" s="73"/>
      <c r="D21" s="73"/>
      <c r="E21" s="73"/>
      <c r="F21" s="73"/>
      <c r="G21" s="73"/>
      <c r="H21" s="73"/>
      <c r="I21" s="73"/>
      <c r="J21" s="73"/>
      <c r="K21" s="73"/>
      <c r="L21" s="73"/>
      <c r="M21" s="73"/>
      <c r="N21" s="273"/>
      <c r="O21" s="73"/>
      <c r="P21" s="75"/>
      <c r="Q21" s="2"/>
      <c r="R21" s="2"/>
      <c r="S21" s="2"/>
      <c r="T21" s="2"/>
      <c r="U21" s="2"/>
      <c r="V21" s="2"/>
      <c r="W21" s="2"/>
      <c r="X21" s="2"/>
      <c r="Y21" s="2"/>
      <c r="Z21" s="2"/>
      <c r="AA21" s="2"/>
      <c r="AB21" s="2"/>
      <c r="AC21" s="2"/>
      <c r="AD21" s="2"/>
      <c r="AE21" s="2"/>
      <c r="AF21" s="2"/>
      <c r="AG21" s="2"/>
      <c r="AH21" s="2"/>
    </row>
    <row r="22" spans="1:34" ht="14.25" customHeight="1">
      <c r="A22" s="77"/>
      <c r="B22" s="272"/>
      <c r="C22" s="73"/>
      <c r="D22" s="73"/>
      <c r="E22" s="73"/>
      <c r="F22" s="73"/>
      <c r="G22" s="73"/>
      <c r="H22" s="73"/>
      <c r="I22" s="73"/>
      <c r="J22" s="73"/>
      <c r="K22" s="73"/>
      <c r="L22" s="73"/>
      <c r="M22" s="73"/>
      <c r="N22" s="273"/>
      <c r="O22" s="73"/>
      <c r="P22" s="75"/>
      <c r="Q22" s="2"/>
      <c r="R22" s="2"/>
      <c r="S22" s="2"/>
      <c r="T22" s="2"/>
      <c r="U22" s="2"/>
      <c r="V22" s="2"/>
      <c r="W22" s="2"/>
      <c r="X22" s="2"/>
      <c r="Y22" s="2"/>
      <c r="Z22" s="2"/>
      <c r="AA22" s="2"/>
      <c r="AB22" s="2"/>
      <c r="AC22" s="2"/>
      <c r="AD22" s="2"/>
      <c r="AE22" s="2"/>
      <c r="AF22" s="2"/>
      <c r="AG22" s="2"/>
      <c r="AH22" s="2"/>
    </row>
    <row r="23" spans="1:34" ht="14.25" customHeight="1">
      <c r="A23" s="77"/>
      <c r="B23" s="272"/>
      <c r="C23" s="73"/>
      <c r="D23" s="73"/>
      <c r="E23" s="73"/>
      <c r="F23" s="73"/>
      <c r="G23" s="73"/>
      <c r="H23" s="73"/>
      <c r="I23" s="73"/>
      <c r="J23" s="73"/>
      <c r="K23" s="73"/>
      <c r="L23" s="73"/>
      <c r="M23" s="73"/>
      <c r="N23" s="273"/>
      <c r="O23" s="73"/>
      <c r="P23" s="75"/>
      <c r="Q23" s="2"/>
      <c r="R23" s="2"/>
      <c r="S23" s="2"/>
      <c r="T23" s="2"/>
      <c r="U23" s="2"/>
      <c r="V23" s="2"/>
      <c r="W23" s="2"/>
      <c r="X23" s="2"/>
      <c r="Y23" s="2"/>
      <c r="Z23" s="2"/>
      <c r="AA23" s="2"/>
      <c r="AB23" s="2"/>
      <c r="AC23" s="2"/>
      <c r="AD23" s="2"/>
      <c r="AE23" s="2"/>
      <c r="AF23" s="2"/>
      <c r="AG23" s="2"/>
      <c r="AH23" s="2"/>
    </row>
    <row r="24" spans="1:34" ht="14.25" customHeight="1">
      <c r="A24" s="77"/>
      <c r="B24" s="272"/>
      <c r="C24" s="73"/>
      <c r="D24" s="73"/>
      <c r="E24" s="73"/>
      <c r="F24" s="73"/>
      <c r="G24" s="73"/>
      <c r="H24" s="73"/>
      <c r="I24" s="73"/>
      <c r="J24" s="73"/>
      <c r="K24" s="73"/>
      <c r="L24" s="73"/>
      <c r="M24" s="73"/>
      <c r="N24" s="273"/>
      <c r="O24" s="73"/>
      <c r="P24" s="75"/>
      <c r="Q24" s="2"/>
      <c r="R24" s="2"/>
      <c r="S24" s="2"/>
      <c r="T24" s="2"/>
      <c r="U24" s="2"/>
      <c r="V24" s="2"/>
      <c r="W24" s="2"/>
      <c r="X24" s="2"/>
      <c r="Y24" s="2"/>
      <c r="Z24" s="2"/>
      <c r="AA24" s="2"/>
      <c r="AB24" s="2"/>
      <c r="AC24" s="2"/>
      <c r="AD24" s="2"/>
      <c r="AE24" s="2"/>
      <c r="AF24" s="2"/>
      <c r="AG24" s="2"/>
      <c r="AH24" s="2"/>
    </row>
    <row r="25" spans="1:34" ht="14.25" customHeight="1">
      <c r="A25" s="77"/>
      <c r="B25" s="272"/>
      <c r="C25" s="73"/>
      <c r="D25" s="73"/>
      <c r="E25" s="73"/>
      <c r="F25" s="73"/>
      <c r="G25" s="73"/>
      <c r="H25" s="73"/>
      <c r="I25" s="73"/>
      <c r="J25" s="73"/>
      <c r="K25" s="73"/>
      <c r="L25" s="73"/>
      <c r="M25" s="73"/>
      <c r="N25" s="273"/>
      <c r="O25" s="73"/>
      <c r="P25" s="75"/>
      <c r="Q25" s="2"/>
      <c r="R25" s="2"/>
      <c r="S25" s="2"/>
      <c r="T25" s="2"/>
      <c r="U25" s="2"/>
      <c r="V25" s="2"/>
      <c r="W25" s="2"/>
      <c r="X25" s="2"/>
      <c r="Y25" s="2"/>
      <c r="Z25" s="2"/>
      <c r="AA25" s="2"/>
      <c r="AB25" s="2"/>
      <c r="AC25" s="2"/>
      <c r="AD25" s="2"/>
      <c r="AE25" s="2"/>
      <c r="AF25" s="2"/>
      <c r="AG25" s="2"/>
      <c r="AH25" s="2"/>
    </row>
    <row r="26" spans="1:34" ht="14.25" customHeight="1">
      <c r="A26" s="77"/>
      <c r="B26" s="272"/>
      <c r="C26" s="73"/>
      <c r="D26" s="73"/>
      <c r="E26" s="73"/>
      <c r="F26" s="73"/>
      <c r="G26" s="73"/>
      <c r="H26" s="73"/>
      <c r="I26" s="73"/>
      <c r="J26" s="73"/>
      <c r="K26" s="73"/>
      <c r="L26" s="73"/>
      <c r="M26" s="73"/>
      <c r="N26" s="273"/>
      <c r="O26" s="73"/>
      <c r="P26" s="75"/>
      <c r="Q26" s="2"/>
      <c r="R26" s="2"/>
      <c r="S26" s="2"/>
      <c r="T26" s="2"/>
      <c r="U26" s="2"/>
      <c r="V26" s="2"/>
      <c r="W26" s="2"/>
      <c r="X26" s="2"/>
      <c r="Y26" s="2"/>
      <c r="Z26" s="2"/>
      <c r="AA26" s="2"/>
      <c r="AB26" s="2"/>
      <c r="AC26" s="2"/>
      <c r="AD26" s="2"/>
      <c r="AE26" s="2"/>
      <c r="AF26" s="2"/>
      <c r="AG26" s="2"/>
      <c r="AH26" s="2"/>
    </row>
    <row r="27" spans="1:34" ht="14.25" customHeight="1">
      <c r="A27" s="77"/>
      <c r="B27" s="272"/>
      <c r="C27" s="73"/>
      <c r="D27" s="73"/>
      <c r="E27" s="73"/>
      <c r="F27" s="73"/>
      <c r="G27" s="73"/>
      <c r="H27" s="73"/>
      <c r="I27" s="73"/>
      <c r="J27" s="73"/>
      <c r="K27" s="73"/>
      <c r="L27" s="73"/>
      <c r="M27" s="73"/>
      <c r="N27" s="273"/>
      <c r="O27" s="73"/>
      <c r="P27" s="75"/>
      <c r="Q27" s="2"/>
      <c r="R27" s="2"/>
      <c r="S27" s="2"/>
      <c r="T27" s="2"/>
      <c r="U27" s="2"/>
      <c r="V27" s="2"/>
      <c r="W27" s="2"/>
      <c r="X27" s="2"/>
      <c r="Y27" s="2"/>
      <c r="Z27" s="2"/>
      <c r="AA27" s="2"/>
      <c r="AB27" s="2"/>
      <c r="AC27" s="2"/>
      <c r="AD27" s="2"/>
      <c r="AE27" s="2"/>
      <c r="AF27" s="2"/>
      <c r="AG27" s="2"/>
      <c r="AH27" s="2"/>
    </row>
    <row r="28" spans="1:34" ht="14.25" customHeight="1">
      <c r="A28" s="77"/>
      <c r="B28" s="272"/>
      <c r="C28" s="73"/>
      <c r="D28" s="73"/>
      <c r="E28" s="73"/>
      <c r="F28" s="73"/>
      <c r="G28" s="73"/>
      <c r="H28" s="73"/>
      <c r="I28" s="73"/>
      <c r="J28" s="73"/>
      <c r="K28" s="73"/>
      <c r="L28" s="73"/>
      <c r="M28" s="73"/>
      <c r="N28" s="273"/>
      <c r="O28" s="73"/>
      <c r="P28" s="75"/>
      <c r="Q28" s="2"/>
      <c r="R28" s="2"/>
      <c r="S28" s="2"/>
      <c r="T28" s="2"/>
      <c r="U28" s="2"/>
      <c r="V28" s="2"/>
      <c r="W28" s="2"/>
      <c r="X28" s="2"/>
      <c r="Y28" s="2"/>
      <c r="Z28" s="2"/>
      <c r="AA28" s="2"/>
      <c r="AB28" s="2"/>
      <c r="AC28" s="2"/>
      <c r="AD28" s="2"/>
      <c r="AE28" s="2"/>
      <c r="AF28" s="2"/>
      <c r="AG28" s="2"/>
      <c r="AH28" s="2"/>
    </row>
    <row r="29" spans="1:34" ht="14.25" customHeight="1">
      <c r="A29" s="77"/>
      <c r="B29" s="272"/>
      <c r="C29" s="73"/>
      <c r="D29" s="73"/>
      <c r="E29" s="73"/>
      <c r="F29" s="73"/>
      <c r="G29" s="73"/>
      <c r="H29" s="73"/>
      <c r="I29" s="73"/>
      <c r="J29" s="73"/>
      <c r="K29" s="73"/>
      <c r="L29" s="73"/>
      <c r="M29" s="73"/>
      <c r="N29" s="273"/>
      <c r="O29" s="73"/>
      <c r="P29" s="75"/>
      <c r="Q29" s="2"/>
      <c r="R29" s="2"/>
      <c r="S29" s="2"/>
      <c r="T29" s="2"/>
      <c r="U29" s="2"/>
      <c r="V29" s="2"/>
      <c r="W29" s="2"/>
      <c r="X29" s="2"/>
      <c r="Y29" s="2"/>
      <c r="Z29" s="2"/>
      <c r="AA29" s="2"/>
      <c r="AB29" s="2"/>
      <c r="AC29" s="2"/>
      <c r="AD29" s="2"/>
      <c r="AE29" s="2"/>
      <c r="AF29" s="2"/>
      <c r="AG29" s="2"/>
      <c r="AH29" s="2"/>
    </row>
    <row r="30" spans="1:34" ht="14.25" customHeight="1">
      <c r="A30" s="77"/>
      <c r="B30" s="272"/>
      <c r="C30" s="73"/>
      <c r="D30" s="73"/>
      <c r="E30" s="73"/>
      <c r="F30" s="73"/>
      <c r="G30" s="73"/>
      <c r="H30" s="73"/>
      <c r="I30" s="73"/>
      <c r="J30" s="73"/>
      <c r="K30" s="73"/>
      <c r="L30" s="73"/>
      <c r="M30" s="73"/>
      <c r="N30" s="273"/>
      <c r="O30" s="73"/>
      <c r="P30" s="75"/>
      <c r="Q30" s="2"/>
      <c r="R30" s="2"/>
      <c r="S30" s="2"/>
      <c r="T30" s="2"/>
      <c r="U30" s="2"/>
      <c r="V30" s="2"/>
      <c r="W30" s="2"/>
      <c r="X30" s="2"/>
      <c r="Y30" s="2"/>
      <c r="Z30" s="2"/>
      <c r="AA30" s="2"/>
      <c r="AB30" s="2"/>
      <c r="AC30" s="2"/>
      <c r="AD30" s="2"/>
      <c r="AE30" s="2"/>
      <c r="AF30" s="2"/>
      <c r="AG30" s="2"/>
      <c r="AH30" s="2"/>
    </row>
    <row r="31" spans="1:34" ht="14.25" customHeight="1">
      <c r="A31" s="77"/>
      <c r="B31" s="272"/>
      <c r="C31" s="73"/>
      <c r="D31" s="73"/>
      <c r="E31" s="73"/>
      <c r="F31" s="73"/>
      <c r="G31" s="73"/>
      <c r="H31" s="73"/>
      <c r="I31" s="73"/>
      <c r="J31" s="73"/>
      <c r="K31" s="73"/>
      <c r="L31" s="73"/>
      <c r="M31" s="73"/>
      <c r="N31" s="273"/>
      <c r="O31" s="73"/>
      <c r="P31" s="75"/>
      <c r="Q31" s="2"/>
      <c r="R31" s="2"/>
      <c r="S31" s="2"/>
      <c r="T31" s="2"/>
      <c r="U31" s="2"/>
      <c r="V31" s="2"/>
      <c r="W31" s="2"/>
      <c r="X31" s="2"/>
      <c r="Y31" s="2"/>
      <c r="Z31" s="2"/>
      <c r="AA31" s="2"/>
      <c r="AB31" s="2"/>
      <c r="AC31" s="2"/>
      <c r="AD31" s="2"/>
      <c r="AE31" s="2"/>
      <c r="AF31" s="2"/>
      <c r="AG31" s="2"/>
      <c r="AH31" s="2"/>
    </row>
    <row r="32" spans="1:34" ht="14.25" customHeight="1">
      <c r="A32" s="77"/>
      <c r="B32" s="272"/>
      <c r="C32" s="73"/>
      <c r="D32" s="73"/>
      <c r="E32" s="73"/>
      <c r="F32" s="73"/>
      <c r="G32" s="73"/>
      <c r="H32" s="73"/>
      <c r="I32" s="73"/>
      <c r="J32" s="73"/>
      <c r="K32" s="73"/>
      <c r="L32" s="73"/>
      <c r="M32" s="73"/>
      <c r="N32" s="273"/>
      <c r="O32" s="73"/>
      <c r="P32" s="75"/>
      <c r="Q32" s="2"/>
      <c r="R32" s="2"/>
      <c r="S32" s="2"/>
      <c r="T32" s="2"/>
      <c r="U32" s="2"/>
      <c r="V32" s="2"/>
      <c r="W32" s="2"/>
      <c r="X32" s="2"/>
      <c r="Y32" s="2"/>
      <c r="Z32" s="2"/>
      <c r="AA32" s="2"/>
      <c r="AB32" s="2"/>
      <c r="AC32" s="2"/>
      <c r="AD32" s="2"/>
      <c r="AE32" s="2"/>
      <c r="AF32" s="2"/>
      <c r="AG32" s="2"/>
      <c r="AH32" s="2"/>
    </row>
    <row r="33" spans="1:34" ht="14.25" customHeight="1">
      <c r="A33" s="77"/>
      <c r="B33" s="272"/>
      <c r="C33" s="73"/>
      <c r="D33" s="73"/>
      <c r="E33" s="73"/>
      <c r="F33" s="73"/>
      <c r="G33" s="73"/>
      <c r="H33" s="73"/>
      <c r="I33" s="73"/>
      <c r="J33" s="73"/>
      <c r="K33" s="73"/>
      <c r="L33" s="73"/>
      <c r="M33" s="73"/>
      <c r="N33" s="273"/>
      <c r="O33" s="73"/>
      <c r="P33" s="75"/>
      <c r="Q33" s="2"/>
      <c r="R33" s="2"/>
      <c r="S33" s="2"/>
      <c r="T33" s="2"/>
      <c r="U33" s="2"/>
      <c r="V33" s="2"/>
      <c r="W33" s="2"/>
      <c r="X33" s="2"/>
      <c r="Y33" s="2"/>
      <c r="Z33" s="2"/>
      <c r="AA33" s="2"/>
      <c r="AB33" s="2"/>
      <c r="AC33" s="2"/>
      <c r="AD33" s="2"/>
      <c r="AE33" s="2"/>
      <c r="AF33" s="2"/>
      <c r="AG33" s="2"/>
      <c r="AH33" s="2"/>
    </row>
    <row r="34" spans="1:34" ht="14.25" customHeight="1" thickBot="1">
      <c r="A34" s="77"/>
      <c r="B34" s="279"/>
      <c r="C34" s="280"/>
      <c r="D34" s="280"/>
      <c r="E34" s="280"/>
      <c r="F34" s="280"/>
      <c r="G34" s="280"/>
      <c r="H34" s="280"/>
      <c r="I34" s="280"/>
      <c r="J34" s="280"/>
      <c r="K34" s="280"/>
      <c r="L34" s="280"/>
      <c r="M34" s="280"/>
      <c r="N34" s="281"/>
      <c r="O34" s="73"/>
      <c r="P34" s="75"/>
      <c r="Q34" s="2"/>
      <c r="R34" s="2"/>
      <c r="S34" s="2"/>
      <c r="T34" s="2"/>
      <c r="U34" s="2"/>
      <c r="V34" s="2"/>
      <c r="W34" s="2"/>
      <c r="X34" s="2"/>
      <c r="Y34" s="2"/>
      <c r="Z34" s="2"/>
      <c r="AA34" s="2"/>
      <c r="AB34" s="2"/>
      <c r="AC34" s="2"/>
      <c r="AD34" s="2"/>
      <c r="AE34" s="2"/>
      <c r="AF34" s="2"/>
      <c r="AG34" s="2"/>
      <c r="AH34" s="2"/>
    </row>
    <row r="35" spans="1:34" ht="14.25" customHeight="1">
      <c r="A35" s="77"/>
      <c r="B35" s="73"/>
      <c r="C35" s="71"/>
      <c r="D35" s="71"/>
      <c r="E35" s="71"/>
      <c r="F35" s="71"/>
      <c r="G35" s="71"/>
      <c r="H35" s="71"/>
      <c r="I35" s="71"/>
      <c r="J35" s="71"/>
      <c r="K35" s="71"/>
      <c r="L35" s="71"/>
      <c r="M35" s="71"/>
      <c r="N35" s="73"/>
      <c r="O35" s="73"/>
      <c r="P35" s="75"/>
      <c r="Q35" s="2"/>
      <c r="R35" s="2"/>
      <c r="S35" s="2"/>
      <c r="T35" s="2"/>
      <c r="U35" s="2"/>
      <c r="V35" s="2"/>
      <c r="W35" s="2"/>
      <c r="X35" s="2"/>
      <c r="Y35" s="2"/>
      <c r="Z35" s="2"/>
      <c r="AA35" s="2"/>
      <c r="AB35" s="2"/>
      <c r="AC35" s="2"/>
      <c r="AD35" s="2"/>
      <c r="AE35" s="2"/>
      <c r="AF35" s="2"/>
      <c r="AG35" s="2"/>
      <c r="AH35" s="2"/>
    </row>
    <row r="36" spans="1:34" ht="14.25" customHeight="1">
      <c r="A36" s="77"/>
      <c r="B36" s="73"/>
      <c r="C36" s="71"/>
      <c r="D36" s="71"/>
      <c r="E36" s="71"/>
      <c r="F36" s="71"/>
      <c r="G36" s="71"/>
      <c r="H36" s="71"/>
      <c r="I36" s="71"/>
      <c r="J36" s="71"/>
      <c r="K36" s="71"/>
      <c r="L36" s="71"/>
      <c r="M36" s="71"/>
      <c r="N36" s="73"/>
      <c r="O36" s="73"/>
      <c r="P36" s="75"/>
      <c r="Q36" s="2"/>
      <c r="R36" s="2"/>
      <c r="S36" s="2"/>
      <c r="T36" s="2"/>
      <c r="U36" s="2"/>
      <c r="V36" s="2"/>
      <c r="W36" s="2"/>
      <c r="X36" s="2"/>
      <c r="Y36" s="2"/>
      <c r="Z36" s="2"/>
      <c r="AA36" s="2"/>
      <c r="AB36" s="2"/>
      <c r="AC36" s="2"/>
      <c r="AD36" s="2"/>
      <c r="AE36" s="2"/>
      <c r="AF36" s="2"/>
      <c r="AG36" s="2"/>
      <c r="AH36" s="2"/>
    </row>
    <row r="37" spans="1:34" ht="14.25" customHeight="1">
      <c r="A37" s="77"/>
      <c r="B37" s="73"/>
      <c r="C37" s="71"/>
      <c r="D37" s="71"/>
      <c r="E37" s="71"/>
      <c r="F37" s="71"/>
      <c r="G37" s="71"/>
      <c r="H37" s="71"/>
      <c r="I37" s="71"/>
      <c r="J37" s="71"/>
      <c r="K37" s="71"/>
      <c r="L37" s="71"/>
      <c r="M37" s="71"/>
      <c r="N37" s="73"/>
      <c r="O37" s="73"/>
      <c r="P37" s="75"/>
      <c r="Q37" s="2"/>
      <c r="R37" s="2"/>
      <c r="S37" s="2"/>
      <c r="T37" s="2"/>
      <c r="U37" s="2"/>
      <c r="V37" s="2"/>
      <c r="W37" s="2"/>
      <c r="X37" s="2"/>
      <c r="Y37" s="2"/>
      <c r="Z37" s="2"/>
      <c r="AA37" s="2"/>
      <c r="AB37" s="2"/>
      <c r="AC37" s="2"/>
      <c r="AD37" s="2"/>
      <c r="AE37" s="2"/>
      <c r="AF37" s="2"/>
      <c r="AG37" s="2"/>
      <c r="AH37" s="2"/>
    </row>
    <row r="38" spans="1:34" ht="14.25" customHeight="1">
      <c r="A38" s="77"/>
      <c r="B38" s="73"/>
      <c r="C38" s="71"/>
      <c r="D38" s="71"/>
      <c r="E38" s="71"/>
      <c r="F38" s="71"/>
      <c r="G38" s="71"/>
      <c r="H38" s="71"/>
      <c r="I38" s="71"/>
      <c r="J38" s="71"/>
      <c r="K38" s="71"/>
      <c r="L38" s="71"/>
      <c r="M38" s="71"/>
      <c r="N38" s="73"/>
      <c r="O38" s="73"/>
      <c r="P38" s="75"/>
      <c r="Q38" s="2"/>
      <c r="R38" s="2"/>
      <c r="S38" s="2"/>
      <c r="T38" s="2"/>
      <c r="U38" s="2"/>
      <c r="V38" s="2"/>
      <c r="W38" s="2"/>
      <c r="X38" s="2"/>
      <c r="Y38" s="2"/>
      <c r="Z38" s="2"/>
      <c r="AA38" s="2"/>
      <c r="AB38" s="2"/>
      <c r="AC38" s="2"/>
      <c r="AD38" s="2"/>
      <c r="AE38" s="2"/>
      <c r="AF38" s="2"/>
      <c r="AG38" s="2"/>
      <c r="AH38" s="2"/>
    </row>
    <row r="39" spans="1:34" ht="14.25" customHeight="1">
      <c r="A39" s="77"/>
      <c r="B39" s="73"/>
      <c r="C39" s="71"/>
      <c r="D39" s="71"/>
      <c r="E39" s="71"/>
      <c r="F39" s="71"/>
      <c r="G39" s="71"/>
      <c r="H39" s="71"/>
      <c r="I39" s="71"/>
      <c r="J39" s="71"/>
      <c r="K39" s="71"/>
      <c r="L39" s="71"/>
      <c r="M39" s="71"/>
      <c r="N39" s="73"/>
      <c r="O39" s="73"/>
      <c r="P39" s="75"/>
      <c r="Q39" s="2"/>
      <c r="R39" s="2"/>
      <c r="S39" s="2"/>
      <c r="T39" s="2"/>
      <c r="U39" s="2"/>
      <c r="V39" s="2"/>
      <c r="W39" s="2"/>
      <c r="X39" s="2"/>
      <c r="Y39" s="2"/>
      <c r="Z39" s="2"/>
      <c r="AA39" s="2"/>
      <c r="AB39" s="2"/>
      <c r="AC39" s="2"/>
      <c r="AD39" s="2"/>
      <c r="AE39" s="2"/>
      <c r="AF39" s="2"/>
      <c r="AG39" s="2"/>
      <c r="AH39" s="2"/>
    </row>
    <row r="40" spans="1:34" ht="14.25" customHeight="1">
      <c r="B40" s="73"/>
      <c r="C40" s="73"/>
      <c r="D40" s="73"/>
      <c r="E40" s="73"/>
      <c r="F40" s="73"/>
      <c r="G40" s="73"/>
      <c r="H40" s="73"/>
      <c r="I40" s="73"/>
      <c r="J40" s="73"/>
      <c r="K40" s="73"/>
      <c r="L40" s="73"/>
      <c r="M40" s="73"/>
      <c r="N40" s="73"/>
      <c r="O40" s="73"/>
      <c r="P40" s="75"/>
      <c r="Q40" s="75"/>
      <c r="R40" s="75"/>
      <c r="S40" s="2"/>
      <c r="T40" s="2"/>
      <c r="U40" s="2"/>
      <c r="V40" s="2"/>
      <c r="W40" s="2"/>
      <c r="X40" s="2"/>
      <c r="Y40" s="2"/>
      <c r="Z40" s="2"/>
      <c r="AA40" s="2"/>
      <c r="AB40" s="2"/>
      <c r="AC40" s="2"/>
      <c r="AD40" s="2"/>
      <c r="AE40" s="2"/>
      <c r="AF40" s="2"/>
      <c r="AG40" s="2"/>
      <c r="AH40" s="2"/>
    </row>
    <row r="41" spans="1:34" ht="14.25" customHeight="1">
      <c r="B41" s="2"/>
      <c r="C41" s="2"/>
      <c r="D41" s="2"/>
      <c r="E41" s="2"/>
      <c r="F41" s="2"/>
      <c r="G41" s="2"/>
      <c r="H41" s="2"/>
      <c r="I41" s="2"/>
      <c r="J41" s="2"/>
      <c r="K41" s="2"/>
      <c r="L41" s="2"/>
      <c r="M41" s="2"/>
      <c r="N41" s="75"/>
      <c r="O41" s="75"/>
      <c r="P41" s="75"/>
      <c r="Q41" s="2"/>
      <c r="R41" s="2"/>
      <c r="S41" s="2"/>
      <c r="T41" s="2"/>
      <c r="U41" s="2"/>
      <c r="V41" s="2"/>
      <c r="W41" s="2"/>
      <c r="X41" s="2"/>
      <c r="Y41" s="2"/>
      <c r="Z41" s="2"/>
      <c r="AA41" s="2"/>
      <c r="AB41" s="2"/>
      <c r="AC41" s="2"/>
      <c r="AD41" s="2"/>
      <c r="AE41" s="2"/>
      <c r="AF41" s="2"/>
      <c r="AG41" s="2"/>
      <c r="AH41" s="2"/>
    </row>
    <row r="42" spans="1:34" ht="14.25" customHeight="1">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row>
    <row r="43" spans="1:34" ht="14.25" customHeight="1">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row>
    <row r="44" spans="1:34" ht="14.25" customHeight="1">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row>
    <row r="45" spans="1:34" ht="14.25" customHeight="1">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row>
    <row r="46" spans="1:34" ht="14.25" customHeight="1">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row>
    <row r="47" spans="1:34" ht="14.25" customHeight="1">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row>
    <row r="48" spans="1:34" ht="14.25" customHeight="1">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row>
    <row r="49" spans="2:34" ht="14.25" customHeight="1">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row>
    <row r="50" spans="2:34" ht="14.25" customHeight="1">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row>
    <row r="51" spans="2:34" ht="14.25" customHeight="1">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row>
    <row r="52" spans="2:34" ht="14.25" customHeight="1">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row>
    <row r="53" spans="2:34" ht="14.25" customHeight="1">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row>
    <row r="54" spans="2:34" ht="14.25" customHeight="1">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row>
    <row r="55" spans="2:34" ht="14.25" customHeight="1">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row>
    <row r="56" spans="2:34" ht="14.25" customHeight="1">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row>
    <row r="57" spans="2:34" ht="14.25" customHeight="1">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row>
    <row r="58" spans="2:34" ht="14.25" customHeight="1">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row>
    <row r="59" spans="2:34" ht="14.25" customHeight="1">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row>
    <row r="60" spans="2:34" ht="14.25" customHeight="1">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row>
    <row r="61" spans="2:34" ht="14.25" customHeight="1">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row>
    <row r="62" spans="2:34" ht="14.25" customHeight="1">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row>
    <row r="63" spans="2:34" ht="14.25" customHeight="1">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row>
    <row r="64" spans="2:34" ht="14.25" customHeight="1">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row>
    <row r="65" spans="2:34" ht="14.25" customHeight="1">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row>
    <row r="66" spans="2:34" ht="14.25" customHeight="1">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row>
    <row r="67" spans="2:34" ht="14.25" customHeight="1">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row>
    <row r="68" spans="2:34" ht="14.25" customHeight="1">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row>
    <row r="69" spans="2:34" ht="14.25" customHeight="1">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row>
    <row r="70" spans="2:34" ht="14.25" customHeight="1">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row>
    <row r="71" spans="2:34" ht="14.25" customHeight="1">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row>
    <row r="72" spans="2:34" ht="14.25" customHeight="1">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row>
    <row r="73" spans="2:34" ht="14.25" customHeight="1">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row>
    <row r="74" spans="2:34" ht="14.25" customHeight="1">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row>
    <row r="75" spans="2:34" ht="14.25" customHeight="1">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row>
    <row r="76" spans="2:34" ht="14.25" customHeight="1">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row>
    <row r="77" spans="2:34" ht="14.25" customHeight="1">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row>
    <row r="78" spans="2:34" ht="14.25" customHeight="1">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row>
    <row r="79" spans="2:34" ht="14.25" customHeight="1">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row>
    <row r="80" spans="2:34" ht="14.25" customHeight="1">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row>
    <row r="81" spans="2:34" ht="14.25" customHeight="1">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row>
    <row r="82" spans="2:34" ht="14.25" customHeight="1">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row>
    <row r="83" spans="2:34" ht="14.25" customHeight="1">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row>
    <row r="84" spans="2:34" ht="14.25" customHeight="1">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row>
    <row r="85" spans="2:34" ht="14.25" customHeight="1">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row>
    <row r="86" spans="2:34" ht="14.25" customHeight="1">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row>
    <row r="87" spans="2:34" ht="14.25" customHeight="1">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row>
    <row r="88" spans="2:34" ht="14.25" customHeight="1">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row>
    <row r="89" spans="2:34" ht="14.25" customHeight="1">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row>
    <row r="90" spans="2:34" ht="14.25" customHeight="1">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row>
    <row r="91" spans="2:34" ht="14.25" customHeight="1">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row>
    <row r="92" spans="2:34" ht="14.25" customHeight="1">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row>
    <row r="93" spans="2:34" ht="14.25" customHeight="1">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row>
    <row r="94" spans="2:34" ht="14.25" customHeight="1">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row>
    <row r="95" spans="2:34" ht="14.25" customHeight="1">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row>
    <row r="96" spans="2:34" ht="14.25" customHeight="1">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row>
    <row r="97" spans="2:34" ht="14.25" customHeight="1">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row>
    <row r="98" spans="2:34" ht="14.25" customHeight="1">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row>
    <row r="99" spans="2:34" ht="14.25" customHeight="1">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row>
    <row r="100" spans="2:34" ht="14.25" customHeight="1">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row>
    <row r="101" spans="2:34" ht="14.25" customHeight="1">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row>
    <row r="102" spans="2:34" ht="14.25" customHeight="1">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row>
    <row r="103" spans="2:34" ht="14.25" customHeight="1">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row>
    <row r="104" spans="2:34" ht="14.25" customHeight="1">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row>
    <row r="105" spans="2:34" ht="14.25" customHeight="1">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row>
    <row r="106" spans="2:34" ht="14.25" customHeight="1">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row>
    <row r="107" spans="2:34" ht="14.25" customHeight="1">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row>
    <row r="108" spans="2:34" ht="14.25" customHeight="1">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row>
    <row r="109" spans="2:34" ht="14.25" customHeight="1">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row>
    <row r="110" spans="2:34" ht="14.25" customHeight="1">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row>
    <row r="111" spans="2:34" ht="14.25" customHeight="1">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row>
    <row r="112" spans="2:34" ht="14.25" customHeight="1">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row>
    <row r="113" spans="2:34" ht="14.25" customHeight="1">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row>
    <row r="114" spans="2:34" ht="14.25" customHeight="1">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row>
    <row r="115" spans="2:34" ht="14.25" customHeight="1"/>
    <row r="116" spans="2:34" ht="14.25" customHeight="1"/>
    <row r="117" spans="2:34" ht="14.25" customHeight="1"/>
    <row r="118" spans="2:34" ht="14.25" customHeight="1"/>
    <row r="119" spans="2:34" ht="14.25" customHeight="1"/>
    <row r="120" spans="2:34" ht="14.25" customHeight="1"/>
    <row r="121" spans="2:34" ht="14.25" customHeight="1"/>
    <row r="122" spans="2:34" ht="14.25" customHeight="1"/>
    <row r="123" spans="2:34" ht="14.25" customHeight="1"/>
    <row r="124" spans="2:34" ht="14.25" customHeight="1"/>
    <row r="125" spans="2:34" ht="14.25" customHeight="1"/>
    <row r="126" spans="2:34" ht="14.25" customHeight="1"/>
    <row r="127" spans="2:34" ht="14.25" customHeight="1"/>
    <row r="128" spans="2:34"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sheetData>
  <sheetProtection algorithmName="SHA-512" hashValue="nadvrnHAYQshuzZzkTQN/Sg521M664anRQZe4Ie5ale0HG/lgmo+z6Jlh4fCRsreU8Ddsaklb9Xoi1v669L7Qw==" saltValue="4QtuR8V/5LIK+ucXA1/vXQ==" spinCount="100000" sheet="1" objects="1" scenarios="1" selectLockedCells="1"/>
  <mergeCells count="3">
    <mergeCell ref="E3:J3"/>
    <mergeCell ref="I13:J13"/>
    <mergeCell ref="K13:N13"/>
  </mergeCells>
  <hyperlinks>
    <hyperlink ref="F13" r:id="rId1" xr:uid="{00000000-0004-0000-0100-000000000000}"/>
  </hyperlinks>
  <pageMargins left="0.7" right="0.7" top="0.78740157499999996" bottom="0.78740157499999996" header="0" footer="0"/>
  <pageSetup paperSize="9" orientation="landscape" r:id="rId2"/>
  <rowBreaks count="1" manualBreakCount="1">
    <brk id="40" min="1" max="1" man="1"/>
  </rowBreaks>
  <colBreaks count="1" manualBreakCount="1">
    <brk id="15" man="1"/>
  </colBreaks>
  <drawing r:id="rId3"/>
  <extLst>
    <ext xmlns:x14="http://schemas.microsoft.com/office/spreadsheetml/2009/9/main" uri="{CCE6A557-97BC-4b89-ADB6-D9C93CAAB3DF}">
      <x14:dataValidations xmlns:xm="http://schemas.microsoft.com/office/excel/2006/main" count="1">
        <x14:dataValidation type="list" allowBlank="1" showErrorMessage="1" xr:uid="{00000000-0002-0000-0100-000000000000}">
          <x14:formula1>
            <xm:f>'5 Weather Data'!$S$15:$S$27</xm:f>
          </x14:formula1>
          <xm:sqref>B8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6D6C7-B02B-497B-B5F9-8F119F6CC7D6}">
  <sheetPr codeName="Sheet20"/>
  <dimension ref="A1:H80"/>
  <sheetViews>
    <sheetView workbookViewId="0">
      <selection activeCell="J29" sqref="J29"/>
    </sheetView>
  </sheetViews>
  <sheetFormatPr baseColWidth="10" defaultColWidth="8.85546875" defaultRowHeight="15"/>
  <cols>
    <col min="1" max="1" width="102.5703125" style="124" bestFit="1" customWidth="1"/>
    <col min="2" max="5" width="8.85546875" style="124"/>
    <col min="6" max="6" width="102.5703125" style="124" bestFit="1" customWidth="1"/>
    <col min="7" max="16384" width="8.85546875" style="124"/>
  </cols>
  <sheetData>
    <row r="1" spans="1:4">
      <c r="A1" s="124" t="s">
        <v>22</v>
      </c>
      <c r="B1" s="124" t="s">
        <v>434</v>
      </c>
      <c r="C1" s="124" t="s">
        <v>504</v>
      </c>
      <c r="D1" s="124" t="s">
        <v>587</v>
      </c>
    </row>
    <row r="2" spans="1:4">
      <c r="A2" s="124" t="s">
        <v>543</v>
      </c>
      <c r="B2" s="124">
        <f>B22+(B62*'6 LCA'!L$37*1000)</f>
        <v>0.11700142857142858</v>
      </c>
      <c r="C2" s="124">
        <f>B22+(G62*'6 LCA'!L$37*1000)</f>
        <v>0.75396515539149811</v>
      </c>
      <c r="D2" s="124" t="s">
        <v>590</v>
      </c>
    </row>
    <row r="3" spans="1:4">
      <c r="A3" s="124" t="s">
        <v>544</v>
      </c>
      <c r="B3" s="124">
        <f>B23+(B63*'6 LCA'!L$37*1000)</f>
        <v>43.123992857142859</v>
      </c>
      <c r="C3" s="124">
        <f>B23+(G63*'6 LCA'!L$37*1000)</f>
        <v>283.96745351846499</v>
      </c>
      <c r="D3" s="124" t="s">
        <v>591</v>
      </c>
    </row>
    <row r="4" spans="1:4">
      <c r="A4" s="124" t="s">
        <v>545</v>
      </c>
      <c r="B4" s="124">
        <f>B24+(B64*'6 LCA'!L$37*1000)</f>
        <v>1.0949257142857143</v>
      </c>
      <c r="C4" s="124">
        <f>B24+(G64*'6 LCA'!L$37*1000)</f>
        <v>3.2907974283430006</v>
      </c>
      <c r="D4" s="124" t="s">
        <v>592</v>
      </c>
    </row>
    <row r="5" spans="1:4">
      <c r="A5" s="124" t="s">
        <v>546</v>
      </c>
      <c r="B5" s="124">
        <f>B25+(B65*'6 LCA'!L$37*1000)</f>
        <v>1.5293214285714285</v>
      </c>
      <c r="C5" s="124">
        <f>B25+(G65*'6 LCA'!L$37*1000)</f>
        <v>4.4738237809379617</v>
      </c>
      <c r="D5" s="124" t="s">
        <v>592</v>
      </c>
    </row>
    <row r="6" spans="1:4">
      <c r="A6" s="124" t="s">
        <v>547</v>
      </c>
      <c r="B6" s="124">
        <f>B26+(B66*'6 LCA'!L$37*1000)</f>
        <v>202.47290428571426</v>
      </c>
      <c r="C6" s="124">
        <f>B26+(G66*'6 LCA'!L$37*1000)</f>
        <v>332.28897107676869</v>
      </c>
      <c r="D6" s="124" t="s">
        <v>592</v>
      </c>
    </row>
    <row r="7" spans="1:4">
      <c r="A7" s="124" t="s">
        <v>548</v>
      </c>
      <c r="B7" s="124">
        <f>B27+(B67*'6 LCA'!L$37*1000)</f>
        <v>9.6834771428571429</v>
      </c>
      <c r="C7" s="124">
        <f>B27+(G67*'6 LCA'!L$37*1000)</f>
        <v>124.56363175123752</v>
      </c>
      <c r="D7" s="124" t="s">
        <v>593</v>
      </c>
    </row>
    <row r="8" spans="1:4">
      <c r="A8" s="124" t="s">
        <v>549</v>
      </c>
      <c r="B8" s="124">
        <f>B28+(B68*'6 LCA'!L$37*1000)</f>
        <v>2.5917142857142854E-2</v>
      </c>
      <c r="C8" s="124">
        <f>B28+(G68*'6 LCA'!L$37*1000)</f>
        <v>2.8378915746678692E-2</v>
      </c>
      <c r="D8" s="124" t="s">
        <v>594</v>
      </c>
    </row>
    <row r="9" spans="1:4">
      <c r="A9" s="124" t="s">
        <v>550</v>
      </c>
      <c r="B9" s="124">
        <f>B29+(B69*'6 LCA'!L$37*1000)</f>
        <v>1.2928571428571429E-3</v>
      </c>
      <c r="C9" s="124">
        <f>B29+(G69*'6 LCA'!L$37*1000)</f>
        <v>3.9679859492744995E-3</v>
      </c>
      <c r="D9" s="124" t="s">
        <v>595</v>
      </c>
    </row>
    <row r="10" spans="1:4">
      <c r="A10" s="124" t="s">
        <v>551</v>
      </c>
      <c r="B10" s="124">
        <f>B30+(B70*'6 LCA'!L$37*1000)</f>
        <v>3.1747942857142855</v>
      </c>
      <c r="C10" s="124">
        <f>B30+(G70*'6 LCA'!L$37*1000)</f>
        <v>8.0806911684556102</v>
      </c>
      <c r="D10" s="124" t="s">
        <v>592</v>
      </c>
    </row>
    <row r="11" spans="1:4">
      <c r="A11" s="124" t="s">
        <v>552</v>
      </c>
      <c r="B11" s="124">
        <f>B31+(B71*'6 LCA'!L$37*1000)</f>
        <v>-312.98223714285712</v>
      </c>
      <c r="C11" s="124">
        <f>B31+(G71*'6 LCA'!L$37*1000)</f>
        <v>76.001032707911605</v>
      </c>
      <c r="D11" s="124" t="s">
        <v>592</v>
      </c>
    </row>
    <row r="12" spans="1:4">
      <c r="A12" s="124" t="s">
        <v>553</v>
      </c>
      <c r="B12" s="124">
        <f>B32+(B72*'6 LCA'!L$37*1000)</f>
        <v>1.0969557142857143</v>
      </c>
      <c r="C12" s="124">
        <f>B32+(G72*'6 LCA'!L$37*1000)</f>
        <v>3.9739113683297327</v>
      </c>
      <c r="D12" s="124" t="s">
        <v>596</v>
      </c>
    </row>
    <row r="13" spans="1:4">
      <c r="A13" s="124" t="s">
        <v>554</v>
      </c>
      <c r="B13" s="124">
        <f>B33+(B73*'6 LCA'!L$37*1000)</f>
        <v>783.04083857142859</v>
      </c>
      <c r="C13" s="124">
        <f>B33+(G73*'6 LCA'!L$37*1000)</f>
        <v>159.94363461632673</v>
      </c>
      <c r="D13" s="124" t="s">
        <v>597</v>
      </c>
    </row>
    <row r="14" spans="1:4">
      <c r="A14" s="124" t="s">
        <v>555</v>
      </c>
      <c r="B14" s="124">
        <f>B34+(B74*'6 LCA'!L$37*1000)</f>
        <v>0.7193342857142857</v>
      </c>
      <c r="C14" s="124">
        <f>B34+(G74*'6 LCA'!L$37*1000)</f>
        <v>0.65538788813853399</v>
      </c>
      <c r="D14" s="124" t="s">
        <v>598</v>
      </c>
    </row>
    <row r="15" spans="1:4">
      <c r="A15" s="124" t="s">
        <v>556</v>
      </c>
      <c r="B15" s="124">
        <f>B35+(B75*'6 LCA'!L$37*1000)</f>
        <v>4.2556269999999996E-4</v>
      </c>
      <c r="C15" s="124">
        <f>B35+(G75*'6 LCA'!L$37*1000)</f>
        <v>2.4845534640311633E-5</v>
      </c>
      <c r="D15" s="124" t="s">
        <v>599</v>
      </c>
    </row>
    <row r="16" spans="1:4">
      <c r="A16" s="124" t="s">
        <v>557</v>
      </c>
      <c r="B16" s="124">
        <f>B36+(B76*'6 LCA'!L$37*1000)</f>
        <v>6.0050000000000006E-2</v>
      </c>
      <c r="C16" s="124">
        <f>B36+(G76*'6 LCA'!L$37*1000)</f>
        <v>0.28265111895487094</v>
      </c>
      <c r="D16" s="124" t="s">
        <v>600</v>
      </c>
    </row>
    <row r="17" spans="1:4">
      <c r="A17" s="124" t="s">
        <v>558</v>
      </c>
      <c r="B17" s="124">
        <f>B37+(B77*'6 LCA'!L$37*1000)</f>
        <v>0.18632857142857145</v>
      </c>
      <c r="C17" s="124">
        <f>B37+(G77*'6 LCA'!L$37*1000)</f>
        <v>0.53103051559018144</v>
      </c>
      <c r="D17" s="124" t="s">
        <v>601</v>
      </c>
    </row>
    <row r="18" spans="1:4">
      <c r="A18" s="124" t="s">
        <v>559</v>
      </c>
      <c r="B18" s="124">
        <f>B38+(B78*'6 LCA'!L$37*1000)</f>
        <v>0.19379428571428575</v>
      </c>
      <c r="C18" s="124">
        <f>B38+(G78*'6 LCA'!L$37*1000)</f>
        <v>0.57143055471447757</v>
      </c>
      <c r="D18" s="124" t="s">
        <v>601</v>
      </c>
    </row>
    <row r="19" spans="1:4">
      <c r="A19" s="124" t="s">
        <v>560</v>
      </c>
      <c r="B19" s="124">
        <f>B39+(B79*'6 LCA'!L$37*1000)</f>
        <v>0.67112428571428573</v>
      </c>
      <c r="C19" s="124">
        <f>B39+(G79*'6 LCA'!L$37*1000)</f>
        <v>4.0282272208141254</v>
      </c>
      <c r="D19" s="124" t="s">
        <v>105</v>
      </c>
    </row>
    <row r="21" spans="1:4">
      <c r="A21" s="124" t="s">
        <v>716</v>
      </c>
      <c r="B21" s="124" t="s">
        <v>589</v>
      </c>
      <c r="D21" s="124" t="s">
        <v>587</v>
      </c>
    </row>
    <row r="22" spans="1:4">
      <c r="A22" s="124" t="s">
        <v>543</v>
      </c>
      <c r="B22" s="124">
        <v>4.3569999999999998E-2</v>
      </c>
      <c r="D22" s="124" t="s">
        <v>590</v>
      </c>
    </row>
    <row r="23" spans="1:4">
      <c r="A23" s="124" t="s">
        <v>544</v>
      </c>
      <c r="B23" s="124">
        <v>13.552770000000001</v>
      </c>
      <c r="D23" s="124" t="s">
        <v>591</v>
      </c>
    </row>
    <row r="24" spans="1:4">
      <c r="A24" s="124" t="s">
        <v>545</v>
      </c>
      <c r="B24" s="124">
        <v>0.40766000000000002</v>
      </c>
      <c r="D24" s="124" t="s">
        <v>592</v>
      </c>
    </row>
    <row r="25" spans="1:4">
      <c r="A25" s="124" t="s">
        <v>546</v>
      </c>
      <c r="B25" s="124">
        <v>0.54503000000000001</v>
      </c>
      <c r="D25" s="124" t="s">
        <v>592</v>
      </c>
    </row>
    <row r="26" spans="1:4">
      <c r="A26" s="124" t="s">
        <v>547</v>
      </c>
      <c r="B26" s="124">
        <v>56.354869999999998</v>
      </c>
      <c r="D26" s="124" t="s">
        <v>592</v>
      </c>
    </row>
    <row r="27" spans="1:4">
      <c r="A27" s="124" t="s">
        <v>548</v>
      </c>
      <c r="B27" s="124">
        <v>4.4464800000000002</v>
      </c>
      <c r="D27" s="124" t="s">
        <v>593</v>
      </c>
    </row>
    <row r="28" spans="1:4">
      <c r="A28" s="124" t="s">
        <v>549</v>
      </c>
      <c r="B28" s="124">
        <v>4.3600000000000002E-3</v>
      </c>
      <c r="D28" s="124" t="s">
        <v>594</v>
      </c>
    </row>
    <row r="29" spans="1:4">
      <c r="A29" s="124" t="s">
        <v>550</v>
      </c>
      <c r="B29" s="124">
        <v>7.6999999999999996E-4</v>
      </c>
      <c r="D29" s="124" t="s">
        <v>595</v>
      </c>
    </row>
    <row r="30" spans="1:4">
      <c r="A30" s="124" t="s">
        <v>551</v>
      </c>
      <c r="B30" s="124">
        <v>1.1335599999999999</v>
      </c>
      <c r="D30" s="124" t="s">
        <v>592</v>
      </c>
    </row>
    <row r="31" spans="1:4">
      <c r="A31" s="124" t="s">
        <v>552</v>
      </c>
      <c r="B31" s="124">
        <v>8.9854000000000003</v>
      </c>
      <c r="D31" s="124" t="s">
        <v>592</v>
      </c>
    </row>
    <row r="32" spans="1:4">
      <c r="A32" s="124" t="s">
        <v>553</v>
      </c>
      <c r="B32" s="124">
        <v>0.77202999999999999</v>
      </c>
      <c r="D32" s="124" t="s">
        <v>596</v>
      </c>
    </row>
    <row r="33" spans="1:8">
      <c r="A33" s="124" t="s">
        <v>554</v>
      </c>
      <c r="B33" s="124">
        <v>157.93136999999999</v>
      </c>
      <c r="D33" s="124" t="s">
        <v>597</v>
      </c>
    </row>
    <row r="34" spans="1:8">
      <c r="A34" s="124" t="s">
        <v>555</v>
      </c>
      <c r="B34" s="124">
        <v>0.24493999999999999</v>
      </c>
      <c r="D34" s="124" t="s">
        <v>598</v>
      </c>
    </row>
    <row r="35" spans="1:8">
      <c r="A35" s="124" t="s">
        <v>556</v>
      </c>
      <c r="B35" s="181">
        <v>5.5627000000000001E-6</v>
      </c>
      <c r="C35" s="181"/>
      <c r="D35" s="124" t="s">
        <v>599</v>
      </c>
    </row>
    <row r="36" spans="1:8">
      <c r="A36" s="124" t="s">
        <v>557</v>
      </c>
      <c r="B36" s="124">
        <v>2.1590000000000002E-2</v>
      </c>
      <c r="D36" s="124" t="s">
        <v>600</v>
      </c>
    </row>
    <row r="37" spans="1:8">
      <c r="A37" s="124" t="s">
        <v>558</v>
      </c>
      <c r="B37" s="124">
        <v>5.5160000000000001E-2</v>
      </c>
      <c r="D37" s="124" t="s">
        <v>601</v>
      </c>
    </row>
    <row r="38" spans="1:8">
      <c r="A38" s="124" t="s">
        <v>559</v>
      </c>
      <c r="B38" s="124">
        <v>5.8459999999999998E-2</v>
      </c>
      <c r="D38" s="124" t="s">
        <v>601</v>
      </c>
    </row>
    <row r="39" spans="1:8">
      <c r="A39" s="124" t="s">
        <v>560</v>
      </c>
      <c r="B39" s="124">
        <v>0.12449</v>
      </c>
      <c r="D39" s="124" t="s">
        <v>105</v>
      </c>
    </row>
    <row r="41" spans="1:8">
      <c r="A41" s="124" t="s">
        <v>717</v>
      </c>
      <c r="B41" s="124" t="s">
        <v>589</v>
      </c>
      <c r="D41" s="124" t="s">
        <v>587</v>
      </c>
      <c r="F41" s="124" t="s">
        <v>718</v>
      </c>
      <c r="G41" s="124" t="s">
        <v>589</v>
      </c>
      <c r="H41" s="124" t="s">
        <v>587</v>
      </c>
    </row>
    <row r="42" spans="1:8">
      <c r="A42" s="124" t="s">
        <v>543</v>
      </c>
      <c r="B42" s="124">
        <v>8.5669999999999996E-2</v>
      </c>
      <c r="D42" s="124" t="s">
        <v>590</v>
      </c>
      <c r="F42" s="124" t="s">
        <v>543</v>
      </c>
      <c r="G42" s="124">
        <v>0.41761999999999999</v>
      </c>
      <c r="H42" s="124" t="s">
        <v>590</v>
      </c>
    </row>
    <row r="43" spans="1:8">
      <c r="A43" s="124" t="s">
        <v>544</v>
      </c>
      <c r="B43" s="124">
        <v>34.499760000000002</v>
      </c>
      <c r="D43" s="124" t="s">
        <v>591</v>
      </c>
      <c r="F43" s="124" t="s">
        <v>544</v>
      </c>
      <c r="G43" s="124">
        <v>158.96868000000001</v>
      </c>
      <c r="H43" s="124" t="s">
        <v>591</v>
      </c>
    </row>
    <row r="44" spans="1:8">
      <c r="A44" s="124" t="s">
        <v>545</v>
      </c>
      <c r="B44" s="124">
        <v>0.80181000000000002</v>
      </c>
      <c r="D44" s="124" t="s">
        <v>592</v>
      </c>
      <c r="F44" s="124" t="s">
        <v>545</v>
      </c>
      <c r="G44" s="124">
        <v>1.6949099999999999</v>
      </c>
      <c r="H44" s="124" t="s">
        <v>592</v>
      </c>
    </row>
    <row r="45" spans="1:8">
      <c r="A45" s="124" t="s">
        <v>546</v>
      </c>
      <c r="B45" s="124">
        <v>1.1483399999999999</v>
      </c>
      <c r="D45" s="124" t="s">
        <v>592</v>
      </c>
      <c r="F45" s="124" t="s">
        <v>546</v>
      </c>
      <c r="G45" s="124">
        <v>2.3096199999999998</v>
      </c>
      <c r="H45" s="124" t="s">
        <v>592</v>
      </c>
    </row>
    <row r="46" spans="1:8">
      <c r="A46" s="124" t="s">
        <v>547</v>
      </c>
      <c r="B46" s="124">
        <v>170.47103999999999</v>
      </c>
      <c r="D46" s="124" t="s">
        <v>592</v>
      </c>
      <c r="F46" s="124" t="s">
        <v>547</v>
      </c>
      <c r="G46" s="124">
        <v>162.21338</v>
      </c>
      <c r="H46" s="124" t="s">
        <v>592</v>
      </c>
    </row>
    <row r="47" spans="1:8">
      <c r="A47" s="124" t="s">
        <v>548</v>
      </c>
      <c r="B47" s="124">
        <v>6.1098299999999997</v>
      </c>
      <c r="D47" s="124" t="s">
        <v>593</v>
      </c>
      <c r="F47" s="124" t="s">
        <v>548</v>
      </c>
      <c r="G47" s="124">
        <v>70.61327</v>
      </c>
      <c r="H47" s="124" t="s">
        <v>593</v>
      </c>
    </row>
    <row r="48" spans="1:8">
      <c r="A48" s="124" t="s">
        <v>549</v>
      </c>
      <c r="B48" s="124">
        <v>2.5149999999999999E-2</v>
      </c>
      <c r="D48" s="124" t="s">
        <v>594</v>
      </c>
      <c r="F48" s="124" t="s">
        <v>549</v>
      </c>
      <c r="G48" s="124">
        <v>1.4120000000000001E-2</v>
      </c>
      <c r="H48" s="124" t="s">
        <v>594</v>
      </c>
    </row>
    <row r="49" spans="1:8">
      <c r="A49" s="124" t="s">
        <v>550</v>
      </c>
      <c r="B49" s="124">
        <v>6.0999999999999997E-4</v>
      </c>
      <c r="D49" s="124" t="s">
        <v>595</v>
      </c>
      <c r="F49" s="124" t="s">
        <v>550</v>
      </c>
      <c r="G49" s="124">
        <v>1.8799999999999999E-3</v>
      </c>
      <c r="H49" s="124" t="s">
        <v>595</v>
      </c>
    </row>
    <row r="50" spans="1:8">
      <c r="A50" s="124" t="s">
        <v>551</v>
      </c>
      <c r="B50" s="124">
        <v>2.38144</v>
      </c>
      <c r="D50" s="124" t="s">
        <v>592</v>
      </c>
      <c r="F50" s="124" t="s">
        <v>551</v>
      </c>
      <c r="G50" s="124">
        <v>4.0840100000000001</v>
      </c>
      <c r="H50" s="124" t="s">
        <v>592</v>
      </c>
    </row>
    <row r="51" spans="1:8">
      <c r="A51" s="124" t="s">
        <v>552</v>
      </c>
      <c r="B51" s="124">
        <v>-375.62891000000002</v>
      </c>
      <c r="D51" s="124" t="s">
        <v>592</v>
      </c>
      <c r="F51" s="124" t="s">
        <v>552</v>
      </c>
      <c r="G51" s="124">
        <v>39.396479999999997</v>
      </c>
      <c r="H51" s="124" t="s">
        <v>592</v>
      </c>
    </row>
    <row r="52" spans="1:8">
      <c r="A52" s="124" t="s">
        <v>553</v>
      </c>
      <c r="B52" s="124">
        <v>0.37907999999999997</v>
      </c>
      <c r="D52" s="124" t="s">
        <v>596</v>
      </c>
      <c r="F52" s="124" t="s">
        <v>553</v>
      </c>
      <c r="G52" s="124">
        <v>1.88229</v>
      </c>
      <c r="H52" s="124" t="s">
        <v>596</v>
      </c>
    </row>
    <row r="53" spans="1:8">
      <c r="A53" s="124" t="s">
        <v>554</v>
      </c>
      <c r="B53" s="124">
        <v>729.29438000000005</v>
      </c>
      <c r="D53" s="124" t="s">
        <v>597</v>
      </c>
      <c r="F53" s="124" t="s">
        <v>554</v>
      </c>
      <c r="G53" s="124">
        <v>1.1829499999999999</v>
      </c>
      <c r="H53" s="124" t="s">
        <v>597</v>
      </c>
    </row>
    <row r="54" spans="1:8">
      <c r="A54" s="124" t="s">
        <v>555</v>
      </c>
      <c r="B54" s="124">
        <v>0.55345999999999995</v>
      </c>
      <c r="D54" s="124" t="s">
        <v>598</v>
      </c>
      <c r="F54" s="124" t="s">
        <v>555</v>
      </c>
      <c r="G54" s="124">
        <v>0.24129</v>
      </c>
      <c r="H54" s="124" t="s">
        <v>598</v>
      </c>
    </row>
    <row r="55" spans="1:8">
      <c r="A55" s="124" t="s">
        <v>556</v>
      </c>
      <c r="B55" s="124">
        <v>4.8999999999999998E-4</v>
      </c>
      <c r="D55" s="124" t="s">
        <v>599</v>
      </c>
      <c r="F55" s="124" t="s">
        <v>556</v>
      </c>
      <c r="G55" s="181">
        <v>1.1335800000000001E-5</v>
      </c>
      <c r="H55" s="124" t="s">
        <v>599</v>
      </c>
    </row>
    <row r="56" spans="1:8">
      <c r="A56" s="124" t="s">
        <v>557</v>
      </c>
      <c r="B56" s="124">
        <v>4.487E-2</v>
      </c>
      <c r="D56" s="124" t="s">
        <v>600</v>
      </c>
      <c r="F56" s="124" t="s">
        <v>557</v>
      </c>
      <c r="G56" s="124">
        <v>0.15347</v>
      </c>
      <c r="H56" s="124" t="s">
        <v>600</v>
      </c>
    </row>
    <row r="57" spans="1:8">
      <c r="A57" s="124" t="s">
        <v>558</v>
      </c>
      <c r="B57" s="124">
        <v>0.15303</v>
      </c>
      <c r="D57" s="124" t="s">
        <v>601</v>
      </c>
      <c r="F57" s="124" t="s">
        <v>558</v>
      </c>
      <c r="G57" s="124">
        <v>0.27975</v>
      </c>
      <c r="H57" s="124" t="s">
        <v>601</v>
      </c>
    </row>
    <row r="58" spans="1:8">
      <c r="A58" s="124" t="s">
        <v>559</v>
      </c>
      <c r="B58" s="124">
        <v>0.15789</v>
      </c>
      <c r="D58" s="124" t="s">
        <v>601</v>
      </c>
      <c r="F58" s="124" t="s">
        <v>559</v>
      </c>
      <c r="G58" s="124">
        <v>0.30155999999999999</v>
      </c>
      <c r="H58" s="124" t="s">
        <v>601</v>
      </c>
    </row>
    <row r="59" spans="1:8">
      <c r="A59" s="124" t="s">
        <v>560</v>
      </c>
      <c r="B59" s="124">
        <v>0.63773999999999997</v>
      </c>
      <c r="D59" s="124" t="s">
        <v>105</v>
      </c>
      <c r="F59" s="124" t="s">
        <v>560</v>
      </c>
      <c r="G59" s="124">
        <v>2.2948900000000001</v>
      </c>
      <c r="H59" s="124" t="s">
        <v>105</v>
      </c>
    </row>
    <row r="61" spans="1:8">
      <c r="A61" s="124" t="s">
        <v>719</v>
      </c>
      <c r="B61" s="124" t="s">
        <v>589</v>
      </c>
      <c r="D61" s="124" t="s">
        <v>587</v>
      </c>
      <c r="F61" s="124" t="s">
        <v>720</v>
      </c>
    </row>
    <row r="62" spans="1:8">
      <c r="A62" s="124" t="s">
        <v>543</v>
      </c>
      <c r="B62" s="124">
        <f>B42/350</f>
        <v>2.4477142857142858E-4</v>
      </c>
      <c r="D62" s="124" t="s">
        <v>590</v>
      </c>
      <c r="F62" s="124" t="s">
        <v>543</v>
      </c>
      <c r="G62" s="124">
        <f>G42/176.361</f>
        <v>2.3679838513049937E-3</v>
      </c>
      <c r="H62" s="124" t="s">
        <v>587</v>
      </c>
    </row>
    <row r="63" spans="1:8">
      <c r="A63" s="124" t="s">
        <v>544</v>
      </c>
      <c r="B63" s="124">
        <f t="shared" ref="B63:B79" si="0">B43/350</f>
        <v>9.857074285714286E-2</v>
      </c>
      <c r="D63" s="124" t="s">
        <v>591</v>
      </c>
      <c r="F63" s="124" t="s">
        <v>544</v>
      </c>
      <c r="G63" s="124">
        <f t="shared" ref="G63:G79" si="1">G43/176.361</f>
        <v>0.90138227839488327</v>
      </c>
      <c r="H63" s="124" t="s">
        <v>590</v>
      </c>
    </row>
    <row r="64" spans="1:8">
      <c r="A64" s="124" t="s">
        <v>545</v>
      </c>
      <c r="B64" s="124">
        <f t="shared" si="0"/>
        <v>2.2908857142857142E-3</v>
      </c>
      <c r="D64" s="124" t="s">
        <v>592</v>
      </c>
      <c r="F64" s="124" t="s">
        <v>545</v>
      </c>
      <c r="G64" s="124">
        <f t="shared" si="1"/>
        <v>9.6104580944766701E-3</v>
      </c>
      <c r="H64" s="124" t="s">
        <v>591</v>
      </c>
    </row>
    <row r="65" spans="1:8">
      <c r="A65" s="124" t="s">
        <v>546</v>
      </c>
      <c r="B65" s="124">
        <f t="shared" si="0"/>
        <v>3.2809714285714285E-3</v>
      </c>
      <c r="D65" s="124" t="s">
        <v>592</v>
      </c>
      <c r="F65" s="124" t="s">
        <v>546</v>
      </c>
      <c r="G65" s="124">
        <f t="shared" si="1"/>
        <v>1.3095979269793208E-2</v>
      </c>
      <c r="H65" s="124" t="s">
        <v>592</v>
      </c>
    </row>
    <row r="66" spans="1:8">
      <c r="A66" s="124" t="s">
        <v>547</v>
      </c>
      <c r="B66" s="124">
        <f t="shared" si="0"/>
        <v>0.48706011428571427</v>
      </c>
      <c r="D66" s="124" t="s">
        <v>592</v>
      </c>
      <c r="F66" s="124" t="s">
        <v>547</v>
      </c>
      <c r="G66" s="124">
        <f t="shared" si="1"/>
        <v>0.91978033692256234</v>
      </c>
      <c r="H66" s="124" t="s">
        <v>592</v>
      </c>
    </row>
    <row r="67" spans="1:8">
      <c r="A67" s="124" t="s">
        <v>548</v>
      </c>
      <c r="B67" s="124">
        <f t="shared" si="0"/>
        <v>1.7456657142857143E-2</v>
      </c>
      <c r="D67" s="124" t="s">
        <v>593</v>
      </c>
      <c r="F67" s="124" t="s">
        <v>548</v>
      </c>
      <c r="G67" s="124">
        <f t="shared" si="1"/>
        <v>0.40039050583745844</v>
      </c>
      <c r="H67" s="124" t="s">
        <v>592</v>
      </c>
    </row>
    <row r="68" spans="1:8">
      <c r="A68" s="124" t="s">
        <v>549</v>
      </c>
      <c r="B68" s="124">
        <f t="shared" si="0"/>
        <v>7.185714285714285E-5</v>
      </c>
      <c r="D68" s="124" t="s">
        <v>594</v>
      </c>
      <c r="F68" s="124" t="s">
        <v>549</v>
      </c>
      <c r="G68" s="124">
        <f t="shared" si="1"/>
        <v>8.006305248892897E-5</v>
      </c>
      <c r="H68" s="124" t="s">
        <v>593</v>
      </c>
    </row>
    <row r="69" spans="1:8">
      <c r="A69" s="124" t="s">
        <v>550</v>
      </c>
      <c r="B69" s="124">
        <f t="shared" si="0"/>
        <v>1.7428571428571427E-6</v>
      </c>
      <c r="D69" s="124" t="s">
        <v>595</v>
      </c>
      <c r="F69" s="124" t="s">
        <v>550</v>
      </c>
      <c r="G69" s="124">
        <f t="shared" si="1"/>
        <v>1.0659953164248333E-5</v>
      </c>
      <c r="H69" s="124" t="s">
        <v>594</v>
      </c>
    </row>
    <row r="70" spans="1:8">
      <c r="A70" s="124" t="s">
        <v>551</v>
      </c>
      <c r="B70" s="124">
        <f t="shared" si="0"/>
        <v>6.8041142857142856E-3</v>
      </c>
      <c r="D70" s="124" t="s">
        <v>592</v>
      </c>
      <c r="F70" s="124" t="s">
        <v>551</v>
      </c>
      <c r="G70" s="124">
        <f t="shared" si="1"/>
        <v>2.3157103894852038E-2</v>
      </c>
      <c r="H70" s="124" t="s">
        <v>595</v>
      </c>
    </row>
    <row r="71" spans="1:8">
      <c r="A71" s="124" t="s">
        <v>552</v>
      </c>
      <c r="B71" s="124">
        <f t="shared" si="0"/>
        <v>-1.0732254571428572</v>
      </c>
      <c r="D71" s="124" t="s">
        <v>592</v>
      </c>
      <c r="F71" s="124" t="s">
        <v>552</v>
      </c>
      <c r="G71" s="124">
        <f t="shared" si="1"/>
        <v>0.22338544235970537</v>
      </c>
      <c r="H71" s="124" t="s">
        <v>592</v>
      </c>
    </row>
    <row r="72" spans="1:8">
      <c r="A72" s="124" t="s">
        <v>553</v>
      </c>
      <c r="B72" s="124">
        <f t="shared" si="0"/>
        <v>1.0830857142857143E-3</v>
      </c>
      <c r="D72" s="124" t="s">
        <v>596</v>
      </c>
      <c r="F72" s="124" t="s">
        <v>553</v>
      </c>
      <c r="G72" s="124">
        <f t="shared" si="1"/>
        <v>1.0672937894432443E-2</v>
      </c>
      <c r="H72" s="124" t="s">
        <v>592</v>
      </c>
    </row>
    <row r="73" spans="1:8">
      <c r="A73" s="124" t="s">
        <v>554</v>
      </c>
      <c r="B73" s="124">
        <f t="shared" si="0"/>
        <v>2.0836982285714285</v>
      </c>
      <c r="D73" s="124" t="s">
        <v>597</v>
      </c>
      <c r="F73" s="124" t="s">
        <v>554</v>
      </c>
      <c r="G73" s="124">
        <f t="shared" si="1"/>
        <v>6.7075487210891301E-3</v>
      </c>
      <c r="H73" s="124" t="s">
        <v>596</v>
      </c>
    </row>
    <row r="74" spans="1:8">
      <c r="A74" s="124" t="s">
        <v>555</v>
      </c>
      <c r="B74" s="124">
        <f t="shared" si="0"/>
        <v>1.5813142857142857E-3</v>
      </c>
      <c r="D74" s="124" t="s">
        <v>598</v>
      </c>
      <c r="F74" s="124" t="s">
        <v>555</v>
      </c>
      <c r="G74" s="124">
        <f t="shared" si="1"/>
        <v>1.3681596271284469E-3</v>
      </c>
      <c r="H74" s="124" t="s">
        <v>597</v>
      </c>
    </row>
    <row r="75" spans="1:8">
      <c r="A75" s="124" t="s">
        <v>556</v>
      </c>
      <c r="B75" s="124">
        <f t="shared" si="0"/>
        <v>1.3999999999999999E-6</v>
      </c>
      <c r="D75" s="124" t="s">
        <v>599</v>
      </c>
      <c r="F75" s="124" t="s">
        <v>556</v>
      </c>
      <c r="G75" s="124">
        <f t="shared" si="1"/>
        <v>6.4276115467705448E-8</v>
      </c>
      <c r="H75" s="124" t="s">
        <v>598</v>
      </c>
    </row>
    <row r="76" spans="1:8">
      <c r="A76" s="124" t="s">
        <v>557</v>
      </c>
      <c r="B76" s="124">
        <f t="shared" si="0"/>
        <v>1.282E-4</v>
      </c>
      <c r="D76" s="124" t="s">
        <v>600</v>
      </c>
      <c r="F76" s="124" t="s">
        <v>557</v>
      </c>
      <c r="G76" s="124">
        <f t="shared" si="1"/>
        <v>8.7020372984956994E-4</v>
      </c>
      <c r="H76" s="124" t="s">
        <v>599</v>
      </c>
    </row>
    <row r="77" spans="1:8">
      <c r="A77" s="124" t="s">
        <v>558</v>
      </c>
      <c r="B77" s="124">
        <f t="shared" si="0"/>
        <v>4.3722857142857141E-4</v>
      </c>
      <c r="D77" s="124" t="s">
        <v>601</v>
      </c>
      <c r="F77" s="124" t="s">
        <v>558</v>
      </c>
      <c r="G77" s="124">
        <f t="shared" si="1"/>
        <v>1.5862350519672717E-3</v>
      </c>
      <c r="H77" s="124" t="s">
        <v>600</v>
      </c>
    </row>
    <row r="78" spans="1:8">
      <c r="A78" s="124" t="s">
        <v>559</v>
      </c>
      <c r="B78" s="124">
        <f t="shared" si="0"/>
        <v>4.5111428571428574E-4</v>
      </c>
      <c r="D78" s="124" t="s">
        <v>601</v>
      </c>
      <c r="F78" s="124" t="s">
        <v>559</v>
      </c>
      <c r="G78" s="124">
        <f t="shared" si="1"/>
        <v>1.709901849048259E-3</v>
      </c>
      <c r="H78" s="124" t="s">
        <v>601</v>
      </c>
    </row>
    <row r="79" spans="1:8">
      <c r="A79" s="124" t="s">
        <v>560</v>
      </c>
      <c r="B79" s="124">
        <f t="shared" si="0"/>
        <v>1.8221142857142857E-3</v>
      </c>
      <c r="D79" s="124" t="s">
        <v>105</v>
      </c>
      <c r="F79" s="124" t="s">
        <v>560</v>
      </c>
      <c r="G79" s="124">
        <f t="shared" si="1"/>
        <v>1.3012457402713753E-2</v>
      </c>
      <c r="H79" s="124" t="s">
        <v>601</v>
      </c>
    </row>
    <row r="80" spans="1:8">
      <c r="H80" s="124" t="s">
        <v>105</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E6B1D-E7F5-4AF5-A303-8EC2B82C576A}">
  <sheetPr codeName="Sheet21"/>
  <dimension ref="A1:D19"/>
  <sheetViews>
    <sheetView workbookViewId="0">
      <selection activeCell="J29" sqref="J29"/>
    </sheetView>
  </sheetViews>
  <sheetFormatPr baseColWidth="10" defaultColWidth="8.85546875" defaultRowHeight="15"/>
  <cols>
    <col min="1" max="1" width="102.5703125" style="124" bestFit="1" customWidth="1"/>
    <col min="2" max="16384" width="8.85546875" style="124"/>
  </cols>
  <sheetData>
    <row r="1" spans="1:4">
      <c r="A1" s="124" t="s">
        <v>721</v>
      </c>
      <c r="B1" s="124" t="s">
        <v>425</v>
      </c>
      <c r="C1" s="124" t="s">
        <v>722</v>
      </c>
      <c r="D1" s="124" t="s">
        <v>587</v>
      </c>
    </row>
    <row r="2" spans="1:4">
      <c r="A2" s="124" t="s">
        <v>543</v>
      </c>
      <c r="B2" s="124">
        <v>0.65144000000000002</v>
      </c>
      <c r="C2" s="124">
        <v>0.65281</v>
      </c>
      <c r="D2" s="124" t="s">
        <v>590</v>
      </c>
    </row>
    <row r="3" spans="1:4">
      <c r="A3" s="124" t="s">
        <v>544</v>
      </c>
      <c r="B3" s="124">
        <v>65.72551</v>
      </c>
      <c r="C3" s="124">
        <v>66.331909999999993</v>
      </c>
      <c r="D3" s="124" t="s">
        <v>591</v>
      </c>
    </row>
    <row r="4" spans="1:4">
      <c r="A4" s="124" t="s">
        <v>545</v>
      </c>
      <c r="B4" s="124">
        <v>128.5376</v>
      </c>
      <c r="C4" s="124">
        <v>128.55959999999999</v>
      </c>
      <c r="D4" s="124" t="s">
        <v>592</v>
      </c>
    </row>
    <row r="5" spans="1:4">
      <c r="A5" s="124" t="s">
        <v>546</v>
      </c>
      <c r="B5" s="124">
        <v>160.46919</v>
      </c>
      <c r="C5" s="124">
        <v>160.49785</v>
      </c>
      <c r="D5" s="124" t="s">
        <v>592</v>
      </c>
    </row>
    <row r="6" spans="1:4">
      <c r="A6" s="124" t="s">
        <v>547</v>
      </c>
      <c r="B6" s="124">
        <v>2295.68759</v>
      </c>
      <c r="C6" s="124">
        <v>2297.7082999999998</v>
      </c>
      <c r="D6" s="124" t="s">
        <v>592</v>
      </c>
    </row>
    <row r="7" spans="1:4">
      <c r="A7" s="124" t="s">
        <v>548</v>
      </c>
      <c r="B7" s="124">
        <v>15.607670000000001</v>
      </c>
      <c r="C7" s="124">
        <v>15.68493</v>
      </c>
      <c r="D7" s="124" t="s">
        <v>593</v>
      </c>
    </row>
    <row r="8" spans="1:4">
      <c r="A8" s="124" t="s">
        <v>549</v>
      </c>
      <c r="B8" s="124">
        <v>0.16922999999999999</v>
      </c>
      <c r="C8" s="124">
        <v>0.16930000000000001</v>
      </c>
      <c r="D8" s="124" t="s">
        <v>594</v>
      </c>
    </row>
    <row r="9" spans="1:4">
      <c r="A9" s="124" t="s">
        <v>550</v>
      </c>
      <c r="B9" s="124">
        <v>3.9300000000000003E-3</v>
      </c>
      <c r="C9" s="124">
        <v>3.9399999999999999E-3</v>
      </c>
      <c r="D9" s="124" t="s">
        <v>595</v>
      </c>
    </row>
    <row r="10" spans="1:4">
      <c r="A10" s="124" t="s">
        <v>551</v>
      </c>
      <c r="B10" s="124">
        <v>34.581479999999999</v>
      </c>
      <c r="C10" s="124">
        <v>34.598590000000002</v>
      </c>
      <c r="D10" s="124" t="s">
        <v>592</v>
      </c>
    </row>
    <row r="11" spans="1:4">
      <c r="A11" s="124" t="s">
        <v>552</v>
      </c>
      <c r="B11" s="124">
        <v>1333.68676</v>
      </c>
      <c r="C11" s="124">
        <v>1334.08583</v>
      </c>
      <c r="D11" s="124" t="s">
        <v>592</v>
      </c>
    </row>
    <row r="12" spans="1:4">
      <c r="A12" s="124" t="s">
        <v>553</v>
      </c>
      <c r="B12" s="124">
        <v>1.96021</v>
      </c>
      <c r="C12" s="124">
        <v>1.97183</v>
      </c>
      <c r="D12" s="124" t="s">
        <v>596</v>
      </c>
    </row>
    <row r="13" spans="1:4">
      <c r="A13" s="124" t="s">
        <v>554</v>
      </c>
      <c r="B13" s="124">
        <v>2.274</v>
      </c>
      <c r="C13" s="124">
        <v>2.2774100000000002</v>
      </c>
      <c r="D13" s="124" t="s">
        <v>597</v>
      </c>
    </row>
    <row r="14" spans="1:4">
      <c r="A14" s="124" t="s">
        <v>555</v>
      </c>
      <c r="B14" s="124">
        <v>4.9422300000000003</v>
      </c>
      <c r="C14" s="124">
        <v>5.4046700000000003</v>
      </c>
      <c r="D14" s="124" t="s">
        <v>598</v>
      </c>
    </row>
    <row r="15" spans="1:4">
      <c r="A15" s="124" t="s">
        <v>556</v>
      </c>
      <c r="B15" s="181">
        <v>3.0927099999999997E-5</v>
      </c>
      <c r="C15" s="181">
        <v>5.39609E-5</v>
      </c>
      <c r="D15" s="124" t="s">
        <v>599</v>
      </c>
    </row>
    <row r="16" spans="1:4">
      <c r="A16" s="124" t="s">
        <v>557</v>
      </c>
      <c r="B16" s="124">
        <v>0.23243</v>
      </c>
      <c r="C16" s="124">
        <v>0.23297000000000001</v>
      </c>
      <c r="D16" s="124" t="s">
        <v>600</v>
      </c>
    </row>
    <row r="17" spans="1:4">
      <c r="A17" s="124" t="s">
        <v>558</v>
      </c>
      <c r="B17" s="124">
        <v>0.32027</v>
      </c>
      <c r="C17" s="124">
        <v>0.32102999999999998</v>
      </c>
      <c r="D17" s="124" t="s">
        <v>601</v>
      </c>
    </row>
    <row r="18" spans="1:4">
      <c r="A18" s="124" t="s">
        <v>559</v>
      </c>
      <c r="B18" s="124">
        <v>0.32806000000000002</v>
      </c>
      <c r="C18" s="124">
        <v>0.32889000000000002</v>
      </c>
      <c r="D18" s="124" t="s">
        <v>601</v>
      </c>
    </row>
    <row r="19" spans="1:4">
      <c r="A19" s="124" t="s">
        <v>560</v>
      </c>
      <c r="B19" s="124">
        <v>0.89854999999999996</v>
      </c>
      <c r="C19" s="124">
        <v>0.90220999999999996</v>
      </c>
      <c r="D19" s="124" t="s">
        <v>105</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CD31B-6FE2-4C63-86FB-42829F02FA5B}">
  <sheetPr codeName="Sheet22"/>
  <dimension ref="A1:M51"/>
  <sheetViews>
    <sheetView zoomScale="70" zoomScaleNormal="70" workbookViewId="0">
      <selection activeCell="J29" sqref="J29"/>
    </sheetView>
  </sheetViews>
  <sheetFormatPr baseColWidth="10" defaultColWidth="8.85546875" defaultRowHeight="15"/>
  <cols>
    <col min="1" max="1" width="102.5703125" style="124" bestFit="1" customWidth="1"/>
    <col min="2" max="2" width="8.85546875" style="124"/>
    <col min="3" max="3" width="13.85546875" style="124" bestFit="1" customWidth="1"/>
    <col min="4" max="4" width="8.85546875" style="124"/>
    <col min="5" max="5" width="9.85546875" style="124" customWidth="1"/>
    <col min="6" max="16384" width="8.85546875" style="124"/>
  </cols>
  <sheetData>
    <row r="1" spans="1:6">
      <c r="A1" s="124" t="s">
        <v>584</v>
      </c>
      <c r="B1" s="124" t="s">
        <v>723</v>
      </c>
      <c r="C1" s="124" t="s">
        <v>724</v>
      </c>
      <c r="D1" s="124" t="s">
        <v>725</v>
      </c>
      <c r="E1" s="124" t="s">
        <v>440</v>
      </c>
      <c r="F1" s="124" t="s">
        <v>587</v>
      </c>
    </row>
    <row r="2" spans="1:6">
      <c r="A2" s="124" t="s">
        <v>543</v>
      </c>
      <c r="B2" s="124">
        <v>0.45423000000000002</v>
      </c>
      <c r="C2" s="124">
        <v>0.79844999999999999</v>
      </c>
      <c r="D2" s="124">
        <v>0.99811000000000005</v>
      </c>
      <c r="E2" s="185">
        <f>C2</f>
        <v>0.79844999999999999</v>
      </c>
      <c r="F2" s="124" t="s">
        <v>590</v>
      </c>
    </row>
    <row r="3" spans="1:6">
      <c r="A3" s="124" t="s">
        <v>544</v>
      </c>
      <c r="B3" s="124">
        <v>123.98891</v>
      </c>
      <c r="C3" s="124">
        <v>219.29619</v>
      </c>
      <c r="D3" s="124">
        <v>283.36128000000002</v>
      </c>
      <c r="E3" s="183">
        <f>C50</f>
        <v>140.73548251820816</v>
      </c>
      <c r="F3" s="124" t="s">
        <v>591</v>
      </c>
    </row>
    <row r="4" spans="1:6">
      <c r="A4" s="124" t="s">
        <v>545</v>
      </c>
      <c r="B4" s="124">
        <v>8.7708399999999997</v>
      </c>
      <c r="C4" s="124">
        <v>19.89312</v>
      </c>
      <c r="D4" s="124">
        <v>21.301819999999999</v>
      </c>
      <c r="E4" s="185">
        <f>C4</f>
        <v>19.89312</v>
      </c>
      <c r="F4" s="124" t="s">
        <v>592</v>
      </c>
    </row>
    <row r="5" spans="1:6">
      <c r="A5" s="124" t="s">
        <v>546</v>
      </c>
      <c r="B5" s="124">
        <v>11.42324</v>
      </c>
      <c r="C5" s="124">
        <v>29.551659999999998</v>
      </c>
      <c r="D5" s="124">
        <v>31.41835</v>
      </c>
      <c r="E5" s="185">
        <f t="shared" ref="E5:E19" si="0">C5</f>
        <v>29.551659999999998</v>
      </c>
      <c r="F5" s="124" t="s">
        <v>592</v>
      </c>
    </row>
    <row r="6" spans="1:6">
      <c r="A6" s="124" t="s">
        <v>547</v>
      </c>
      <c r="B6" s="124">
        <v>414.87394999999998</v>
      </c>
      <c r="C6" s="124">
        <v>5736.1453000000001</v>
      </c>
      <c r="D6" s="124">
        <v>5804.2509300000002</v>
      </c>
      <c r="E6" s="185">
        <f t="shared" si="0"/>
        <v>5736.1453000000001</v>
      </c>
      <c r="F6" s="124" t="s">
        <v>592</v>
      </c>
    </row>
    <row r="7" spans="1:6">
      <c r="A7" s="124" t="s">
        <v>548</v>
      </c>
      <c r="B7" s="124">
        <v>31.107790000000001</v>
      </c>
      <c r="C7" s="124">
        <v>58.105440000000002</v>
      </c>
      <c r="D7" s="124">
        <v>73.840029999999999</v>
      </c>
      <c r="E7" s="185">
        <f t="shared" si="0"/>
        <v>58.105440000000002</v>
      </c>
      <c r="F7" s="124" t="s">
        <v>593</v>
      </c>
    </row>
    <row r="8" spans="1:6">
      <c r="A8" s="124" t="s">
        <v>549</v>
      </c>
      <c r="B8" s="124">
        <v>7.0639999999999994E-2</v>
      </c>
      <c r="C8" s="124">
        <v>0.10272000000000001</v>
      </c>
      <c r="D8" s="124">
        <v>0.12820999999999999</v>
      </c>
      <c r="E8" s="185">
        <f t="shared" si="0"/>
        <v>0.10272000000000001</v>
      </c>
      <c r="F8" s="124" t="s">
        <v>594</v>
      </c>
    </row>
    <row r="9" spans="1:6">
      <c r="A9" s="124" t="s">
        <v>550</v>
      </c>
      <c r="B9" s="124">
        <v>8.2900000000000005E-3</v>
      </c>
      <c r="C9" s="124">
        <v>2.0729999999999998E-2</v>
      </c>
      <c r="D9" s="124">
        <v>2.5579999999999999E-2</v>
      </c>
      <c r="E9" s="185">
        <f t="shared" si="0"/>
        <v>2.0729999999999998E-2</v>
      </c>
      <c r="F9" s="124" t="s">
        <v>595</v>
      </c>
    </row>
    <row r="10" spans="1:6">
      <c r="A10" s="124" t="s">
        <v>551</v>
      </c>
      <c r="B10" s="124">
        <v>9.1455400000000004</v>
      </c>
      <c r="C10" s="124">
        <v>19.642869999999998</v>
      </c>
      <c r="D10" s="124">
        <v>22.297979999999999</v>
      </c>
      <c r="E10" s="185">
        <f t="shared" si="0"/>
        <v>19.642869999999998</v>
      </c>
      <c r="F10" s="124" t="s">
        <v>592</v>
      </c>
    </row>
    <row r="11" spans="1:6">
      <c r="A11" s="124" t="s">
        <v>552</v>
      </c>
      <c r="B11" s="124">
        <v>187.44801000000001</v>
      </c>
      <c r="C11" s="124">
        <v>435.42536999999999</v>
      </c>
      <c r="D11" s="124">
        <v>478.83449000000002</v>
      </c>
      <c r="E11" s="185">
        <f t="shared" si="0"/>
        <v>435.42536999999999</v>
      </c>
      <c r="F11" s="124" t="s">
        <v>592</v>
      </c>
    </row>
    <row r="12" spans="1:6">
      <c r="A12" s="124" t="s">
        <v>553</v>
      </c>
      <c r="B12" s="124">
        <v>13.46415</v>
      </c>
      <c r="C12" s="124">
        <v>17.94472</v>
      </c>
      <c r="D12" s="124">
        <v>23.751100000000001</v>
      </c>
      <c r="E12" s="185">
        <f t="shared" si="0"/>
        <v>17.94472</v>
      </c>
      <c r="F12" s="124" t="s">
        <v>596</v>
      </c>
    </row>
    <row r="13" spans="1:6">
      <c r="A13" s="124" t="s">
        <v>554</v>
      </c>
      <c r="B13" s="124">
        <v>2.9087100000000001</v>
      </c>
      <c r="C13" s="124">
        <v>6.0125099999999998</v>
      </c>
      <c r="D13" s="124">
        <v>6.7861000000000002</v>
      </c>
      <c r="E13" s="185">
        <f t="shared" si="0"/>
        <v>6.0125099999999998</v>
      </c>
      <c r="F13" s="124" t="s">
        <v>597</v>
      </c>
    </row>
    <row r="14" spans="1:6">
      <c r="A14" s="124" t="s">
        <v>555</v>
      </c>
      <c r="B14" s="124">
        <v>2.1853899999999999</v>
      </c>
      <c r="C14" s="124">
        <v>5.3038100000000004</v>
      </c>
      <c r="D14" s="124">
        <v>6.5368700000000004</v>
      </c>
      <c r="E14" s="185">
        <f t="shared" si="0"/>
        <v>5.3038100000000004</v>
      </c>
      <c r="F14" s="124" t="s">
        <v>598</v>
      </c>
    </row>
    <row r="15" spans="1:6">
      <c r="A15" s="124" t="s">
        <v>556</v>
      </c>
      <c r="B15" s="181">
        <v>4.4951099999999997E-5</v>
      </c>
      <c r="C15" s="181">
        <v>9.0792100000000001E-5</v>
      </c>
      <c r="D15" s="181">
        <v>1.2E-4</v>
      </c>
      <c r="E15" s="185">
        <f t="shared" si="0"/>
        <v>9.0792100000000001E-5</v>
      </c>
      <c r="F15" s="124" t="s">
        <v>599</v>
      </c>
    </row>
    <row r="16" spans="1:6">
      <c r="A16" s="124" t="s">
        <v>557</v>
      </c>
      <c r="B16" s="124">
        <v>0.22070000000000001</v>
      </c>
      <c r="C16" s="124">
        <v>0.41123999999999999</v>
      </c>
      <c r="D16" s="124">
        <v>0.53671000000000002</v>
      </c>
      <c r="E16" s="185">
        <f t="shared" si="0"/>
        <v>0.41123999999999999</v>
      </c>
      <c r="F16" s="124" t="s">
        <v>600</v>
      </c>
    </row>
    <row r="17" spans="1:13">
      <c r="A17" s="124" t="s">
        <v>558</v>
      </c>
      <c r="B17" s="124">
        <v>0.30102000000000001</v>
      </c>
      <c r="C17" s="124">
        <v>0.57208000000000003</v>
      </c>
      <c r="D17" s="124">
        <v>0.71769000000000005</v>
      </c>
      <c r="E17" s="185">
        <f t="shared" si="0"/>
        <v>0.57208000000000003</v>
      </c>
      <c r="F17" s="124" t="s">
        <v>601</v>
      </c>
    </row>
    <row r="18" spans="1:13">
      <c r="A18" s="124" t="s">
        <v>559</v>
      </c>
      <c r="B18" s="124">
        <v>0.30882999999999999</v>
      </c>
      <c r="C18" s="124">
        <v>0.60943999999999998</v>
      </c>
      <c r="D18" s="124">
        <v>0.75780999999999998</v>
      </c>
      <c r="E18" s="185">
        <f t="shared" si="0"/>
        <v>0.60943999999999998</v>
      </c>
      <c r="F18" s="124" t="s">
        <v>601</v>
      </c>
    </row>
    <row r="19" spans="1:13">
      <c r="A19" s="124" t="s">
        <v>560</v>
      </c>
      <c r="B19" s="124">
        <v>0.83896999999999999</v>
      </c>
      <c r="C19" s="124">
        <v>9.6242900000000002</v>
      </c>
      <c r="D19" s="124">
        <v>8.7327300000000001</v>
      </c>
      <c r="E19" s="185">
        <f t="shared" si="0"/>
        <v>9.6242900000000002</v>
      </c>
      <c r="F19" s="124" t="s">
        <v>105</v>
      </c>
    </row>
    <row r="22" spans="1:13">
      <c r="A22" s="124" t="s">
        <v>726</v>
      </c>
      <c r="B22" s="124">
        <v>80</v>
      </c>
      <c r="C22" s="124">
        <v>185</v>
      </c>
      <c r="D22" s="124">
        <v>190</v>
      </c>
      <c r="E22" s="124">
        <v>410</v>
      </c>
    </row>
    <row r="23" spans="1:13">
      <c r="A23" s="124" t="s">
        <v>727</v>
      </c>
      <c r="B23" s="124">
        <v>20</v>
      </c>
      <c r="C23" s="124">
        <v>20.3</v>
      </c>
      <c r="D23" s="124">
        <v>20.6</v>
      </c>
      <c r="E23" s="124">
        <v>37</v>
      </c>
    </row>
    <row r="24" spans="1:13">
      <c r="A24" s="124" t="s">
        <v>728</v>
      </c>
      <c r="B24" s="124">
        <v>16.600000000000001</v>
      </c>
      <c r="C24" s="124">
        <v>17</v>
      </c>
      <c r="D24" s="124">
        <v>17.3</v>
      </c>
      <c r="E24" s="124">
        <v>20.5</v>
      </c>
    </row>
    <row r="27" spans="1:13">
      <c r="A27" s="141" t="s">
        <v>729</v>
      </c>
    </row>
    <row r="28" spans="1:13">
      <c r="A28" s="124" t="s">
        <v>730</v>
      </c>
    </row>
    <row r="29" spans="1:13" ht="30">
      <c r="A29" s="186" t="s">
        <v>731</v>
      </c>
      <c r="M29" s="187"/>
    </row>
    <row r="31" spans="1:13">
      <c r="B31" s="124" t="s">
        <v>405</v>
      </c>
      <c r="C31" s="124" t="s">
        <v>732</v>
      </c>
    </row>
    <row r="32" spans="1:13">
      <c r="B32" s="124" t="s">
        <v>733</v>
      </c>
      <c r="C32" s="124">
        <f>(0.0143)+(0.00221)</f>
        <v>1.651E-2</v>
      </c>
      <c r="D32" s="124" t="s">
        <v>734</v>
      </c>
      <c r="F32" s="124">
        <f>C32*4144</f>
        <v>68.417439999999999</v>
      </c>
      <c r="G32" s="124" t="s">
        <v>735</v>
      </c>
    </row>
    <row r="33" spans="3:11">
      <c r="C33" s="124">
        <f>20/1000</f>
        <v>0.02</v>
      </c>
      <c r="D33" s="124" t="s">
        <v>736</v>
      </c>
    </row>
    <row r="36" spans="3:11">
      <c r="C36" s="124" t="s">
        <v>737</v>
      </c>
    </row>
    <row r="37" spans="3:11">
      <c r="C37" s="188">
        <v>4144785.71</v>
      </c>
      <c r="D37" s="124" t="s">
        <v>391</v>
      </c>
    </row>
    <row r="38" spans="3:11">
      <c r="C38" s="188">
        <f>C37/249</f>
        <v>16645.725742971888</v>
      </c>
      <c r="D38" s="124" t="s">
        <v>738</v>
      </c>
    </row>
    <row r="39" spans="3:11">
      <c r="C39" s="188">
        <f>C38/(1.722*1.134)</f>
        <v>8524.2569665783249</v>
      </c>
      <c r="D39" s="124" t="s">
        <v>739</v>
      </c>
      <c r="J39" s="124" t="s">
        <v>740</v>
      </c>
    </row>
    <row r="40" spans="3:11">
      <c r="C40" s="124">
        <v>410</v>
      </c>
      <c r="D40" s="124" t="s">
        <v>32</v>
      </c>
    </row>
    <row r="41" spans="3:11">
      <c r="C41" s="188">
        <f>C39/410*224</f>
        <v>4657.1550256427918</v>
      </c>
      <c r="D41" s="124" t="s">
        <v>741</v>
      </c>
      <c r="K41" s="124" t="s">
        <v>742</v>
      </c>
    </row>
    <row r="42" spans="3:11">
      <c r="D42" s="124" t="s">
        <v>743</v>
      </c>
      <c r="K42" s="124" t="s">
        <v>744</v>
      </c>
    </row>
    <row r="43" spans="3:11">
      <c r="C43" s="187">
        <f>C41*C32</f>
        <v>76.88962947336249</v>
      </c>
    </row>
    <row r="45" spans="3:11">
      <c r="C45" s="181">
        <f>C32</f>
        <v>1.651E-2</v>
      </c>
      <c r="D45" s="124" t="s">
        <v>405</v>
      </c>
    </row>
    <row r="47" spans="3:11">
      <c r="C47" s="124" t="s">
        <v>745</v>
      </c>
    </row>
    <row r="49" spans="3:4">
      <c r="C49" s="187">
        <f>C45*C38</f>
        <v>274.82093201646586</v>
      </c>
      <c r="D49" s="124" t="s">
        <v>746</v>
      </c>
    </row>
    <row r="50" spans="3:4">
      <c r="C50" s="187">
        <f>C45*C39</f>
        <v>140.73548251820816</v>
      </c>
      <c r="D50" s="124" t="s">
        <v>747</v>
      </c>
    </row>
    <row r="51" spans="3:4">
      <c r="C51" s="187">
        <f>C45*C41</f>
        <v>76.88962947336249</v>
      </c>
      <c r="D51" s="124" t="s">
        <v>748</v>
      </c>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5E1D4-7F2A-4723-9388-1F2FDCC082F2}">
  <sheetPr codeName="Sheet23"/>
  <dimension ref="A1:K27"/>
  <sheetViews>
    <sheetView workbookViewId="0">
      <selection activeCell="B22" sqref="B22"/>
    </sheetView>
  </sheetViews>
  <sheetFormatPr baseColWidth="10" defaultColWidth="8.85546875" defaultRowHeight="15"/>
  <cols>
    <col min="1" max="1" width="102.5703125" style="124" bestFit="1" customWidth="1"/>
    <col min="2" max="16384" width="8.85546875" style="124"/>
  </cols>
  <sheetData>
    <row r="1" spans="1:11">
      <c r="A1" s="124" t="s">
        <v>749</v>
      </c>
      <c r="B1" s="124" t="s">
        <v>750</v>
      </c>
      <c r="C1" s="124" t="s">
        <v>751</v>
      </c>
      <c r="D1" s="124" t="s">
        <v>752</v>
      </c>
      <c r="E1" s="124" t="s">
        <v>753</v>
      </c>
      <c r="F1" s="124" t="s">
        <v>754</v>
      </c>
      <c r="G1" s="124" t="s">
        <v>415</v>
      </c>
      <c r="H1" s="124" t="s">
        <v>755</v>
      </c>
      <c r="I1" s="124" t="s">
        <v>756</v>
      </c>
      <c r="J1" s="124" t="s">
        <v>757</v>
      </c>
      <c r="K1" s="124" t="s">
        <v>587</v>
      </c>
    </row>
    <row r="2" spans="1:11">
      <c r="A2" s="124" t="s">
        <v>543</v>
      </c>
      <c r="B2" s="183">
        <v>0.999807</v>
      </c>
      <c r="C2" s="183">
        <v>1.19282</v>
      </c>
      <c r="D2" s="183">
        <v>1.12375</v>
      </c>
      <c r="E2" s="183">
        <v>1.1662699999999999</v>
      </c>
      <c r="F2" s="183">
        <f>E2</f>
        <v>1.1662699999999999</v>
      </c>
      <c r="G2" s="183">
        <v>1.7807299999999999</v>
      </c>
      <c r="H2" s="183">
        <v>0.39644600000000002</v>
      </c>
      <c r="I2" s="183">
        <v>0.68366249999999995</v>
      </c>
      <c r="J2" s="183">
        <f>I2</f>
        <v>0.68366249999999995</v>
      </c>
      <c r="K2" s="124" t="s">
        <v>590</v>
      </c>
    </row>
    <row r="3" spans="1:11">
      <c r="A3" s="124" t="s">
        <v>544</v>
      </c>
      <c r="B3" s="183">
        <v>113.611</v>
      </c>
      <c r="C3" s="183">
        <v>141.517</v>
      </c>
      <c r="D3" s="183">
        <v>126.973</v>
      </c>
      <c r="E3" s="183">
        <v>150.52199999999999</v>
      </c>
      <c r="F3" s="183">
        <f t="shared" ref="F3:F19" si="0">E3</f>
        <v>150.52199999999999</v>
      </c>
      <c r="G3" s="183">
        <v>148.94300000000001</v>
      </c>
      <c r="H3" s="183">
        <v>60.344900000000003</v>
      </c>
      <c r="I3" s="183">
        <v>84.166820000000001</v>
      </c>
      <c r="J3" s="183">
        <f t="shared" ref="J3:J19" si="1">I3</f>
        <v>84.166820000000001</v>
      </c>
      <c r="K3" s="124" t="s">
        <v>591</v>
      </c>
    </row>
    <row r="4" spans="1:11">
      <c r="A4" s="124" t="s">
        <v>545</v>
      </c>
      <c r="B4" s="183">
        <v>49.9499</v>
      </c>
      <c r="C4" s="183">
        <v>56.730400000000003</v>
      </c>
      <c r="D4" s="183">
        <v>55.241</v>
      </c>
      <c r="E4" s="183">
        <v>48.741300000000003</v>
      </c>
      <c r="F4" s="183">
        <f t="shared" si="0"/>
        <v>48.741300000000003</v>
      </c>
      <c r="G4" s="183">
        <v>72.363100000000003</v>
      </c>
      <c r="H4" s="183">
        <v>16.862200000000001</v>
      </c>
      <c r="I4" s="183">
        <v>36.950555000000001</v>
      </c>
      <c r="J4" s="183">
        <f t="shared" si="1"/>
        <v>36.950555000000001</v>
      </c>
      <c r="K4" s="124" t="s">
        <v>592</v>
      </c>
    </row>
    <row r="5" spans="1:11">
      <c r="A5" s="124" t="s">
        <v>546</v>
      </c>
      <c r="B5" s="183">
        <v>65.503500000000003</v>
      </c>
      <c r="C5" s="183">
        <v>74.524699999999996</v>
      </c>
      <c r="D5" s="183">
        <v>72.388199999999998</v>
      </c>
      <c r="E5" s="183">
        <v>66.350800000000007</v>
      </c>
      <c r="F5" s="183">
        <f t="shared" si="0"/>
        <v>66.350800000000007</v>
      </c>
      <c r="G5" s="183">
        <v>94.201899999999995</v>
      </c>
      <c r="H5" s="183">
        <v>22.9816</v>
      </c>
      <c r="I5" s="183">
        <v>48.382584999999999</v>
      </c>
      <c r="J5" s="183">
        <f t="shared" si="1"/>
        <v>48.382584999999999</v>
      </c>
      <c r="K5" s="124" t="s">
        <v>592</v>
      </c>
    </row>
    <row r="6" spans="1:11">
      <c r="A6" s="124" t="s">
        <v>547</v>
      </c>
      <c r="B6" s="183">
        <v>4779.1899999999996</v>
      </c>
      <c r="C6" s="183">
        <v>5917.12</v>
      </c>
      <c r="D6" s="183">
        <v>5274.6</v>
      </c>
      <c r="E6" s="183">
        <v>2637.8</v>
      </c>
      <c r="F6" s="183">
        <f t="shared" si="0"/>
        <v>2637.8</v>
      </c>
      <c r="G6" s="183">
        <v>5720.94</v>
      </c>
      <c r="H6" s="183">
        <v>728.33199999999999</v>
      </c>
      <c r="I6" s="183">
        <v>2334.3959199999999</v>
      </c>
      <c r="J6" s="183">
        <f t="shared" si="1"/>
        <v>2334.3959199999999</v>
      </c>
      <c r="K6" s="124" t="s">
        <v>592</v>
      </c>
    </row>
    <row r="7" spans="1:11">
      <c r="A7" s="124" t="s">
        <v>548</v>
      </c>
      <c r="B7" s="183">
        <v>31.081900000000001</v>
      </c>
      <c r="C7" s="183">
        <v>38.695900000000002</v>
      </c>
      <c r="D7" s="183">
        <v>34.813400000000001</v>
      </c>
      <c r="E7" s="183">
        <v>46.0045</v>
      </c>
      <c r="F7" s="183">
        <f t="shared" si="0"/>
        <v>46.0045</v>
      </c>
      <c r="G7" s="183">
        <v>39.574199999999998</v>
      </c>
      <c r="H7" s="183">
        <v>20.125599999999999</v>
      </c>
      <c r="I7" s="183">
        <v>22.588859999999997</v>
      </c>
      <c r="J7" s="183">
        <f t="shared" si="1"/>
        <v>22.588859999999997</v>
      </c>
      <c r="K7" s="124" t="s">
        <v>593</v>
      </c>
    </row>
    <row r="8" spans="1:11">
      <c r="A8" s="124" t="s">
        <v>549</v>
      </c>
      <c r="B8" s="183">
        <v>9.7723000000000004E-2</v>
      </c>
      <c r="C8" s="183">
        <v>0.113541</v>
      </c>
      <c r="D8" s="183">
        <v>0.108496</v>
      </c>
      <c r="E8" s="183">
        <v>8.6990899999999996E-2</v>
      </c>
      <c r="F8" s="183">
        <f t="shared" si="0"/>
        <v>8.6990899999999996E-2</v>
      </c>
      <c r="G8" s="183">
        <v>0.13671800000000001</v>
      </c>
      <c r="H8" s="183">
        <v>2.65309E-2</v>
      </c>
      <c r="I8" s="183">
        <v>6.9149500000000003E-2</v>
      </c>
      <c r="J8" s="183">
        <f t="shared" si="1"/>
        <v>6.9149500000000003E-2</v>
      </c>
      <c r="K8" s="124" t="s">
        <v>594</v>
      </c>
    </row>
    <row r="9" spans="1:11">
      <c r="A9" s="124" t="s">
        <v>550</v>
      </c>
      <c r="B9" s="183">
        <v>1.27145E-2</v>
      </c>
      <c r="C9" s="183">
        <v>1.7499000000000001E-2</v>
      </c>
      <c r="D9" s="183">
        <v>1.40666E-2</v>
      </c>
      <c r="E9" s="183">
        <v>6.4730899999999999E-3</v>
      </c>
      <c r="F9" s="183">
        <f t="shared" si="0"/>
        <v>6.4730899999999999E-3</v>
      </c>
      <c r="G9" s="183">
        <v>1.4245000000000001E-2</v>
      </c>
      <c r="H9" s="183">
        <v>3.77152E-3</v>
      </c>
      <c r="I9" s="183">
        <v>5.7412499999999998E-3</v>
      </c>
      <c r="J9" s="183">
        <f t="shared" si="1"/>
        <v>5.7412499999999998E-3</v>
      </c>
      <c r="K9" s="124" t="s">
        <v>595</v>
      </c>
    </row>
    <row r="10" spans="1:11">
      <c r="A10" s="124" t="s">
        <v>551</v>
      </c>
      <c r="B10" s="183">
        <v>19.044799999999999</v>
      </c>
      <c r="C10" s="183">
        <v>22.346900000000002</v>
      </c>
      <c r="D10" s="183">
        <v>20.985800000000001</v>
      </c>
      <c r="E10" s="183">
        <v>19.927800000000001</v>
      </c>
      <c r="F10" s="183">
        <f t="shared" si="0"/>
        <v>19.927800000000001</v>
      </c>
      <c r="G10" s="183">
        <v>27.3232</v>
      </c>
      <c r="H10" s="183">
        <v>10.946099999999999</v>
      </c>
      <c r="I10" s="183">
        <v>14.84731</v>
      </c>
      <c r="J10" s="183">
        <f t="shared" si="1"/>
        <v>14.84731</v>
      </c>
      <c r="K10" s="124" t="s">
        <v>592</v>
      </c>
    </row>
    <row r="11" spans="1:11">
      <c r="A11" s="124" t="s">
        <v>552</v>
      </c>
      <c r="B11" s="183">
        <v>867.70699999999999</v>
      </c>
      <c r="C11" s="183">
        <v>1019.24</v>
      </c>
      <c r="D11" s="183">
        <v>954.93700000000001</v>
      </c>
      <c r="E11" s="183">
        <v>1815.7</v>
      </c>
      <c r="F11" s="183">
        <f t="shared" si="0"/>
        <v>1815.7</v>
      </c>
      <c r="G11" s="183">
        <v>1166.99</v>
      </c>
      <c r="H11" s="183">
        <v>963.49900000000002</v>
      </c>
      <c r="I11" s="183">
        <v>599.48767999999995</v>
      </c>
      <c r="J11" s="183">
        <f t="shared" si="1"/>
        <v>599.48767999999995</v>
      </c>
      <c r="K11" s="124" t="s">
        <v>592</v>
      </c>
    </row>
    <row r="12" spans="1:11">
      <c r="A12" s="124" t="s">
        <v>553</v>
      </c>
      <c r="B12" s="183">
        <v>10.7065</v>
      </c>
      <c r="C12" s="183">
        <v>14.864000000000001</v>
      </c>
      <c r="D12" s="183">
        <v>11.559799999999999</v>
      </c>
      <c r="E12" s="183">
        <v>10.880100000000001</v>
      </c>
      <c r="F12" s="183">
        <f t="shared" si="0"/>
        <v>10.880100000000001</v>
      </c>
      <c r="G12" s="183">
        <v>7.2247000000000003</v>
      </c>
      <c r="H12" s="183">
        <v>1.56562</v>
      </c>
      <c r="I12" s="183">
        <v>4.483555</v>
      </c>
      <c r="J12" s="183">
        <f t="shared" si="1"/>
        <v>4.483555</v>
      </c>
      <c r="K12" s="124" t="s">
        <v>596</v>
      </c>
    </row>
    <row r="13" spans="1:11">
      <c r="A13" s="124" t="s">
        <v>554</v>
      </c>
      <c r="B13" s="183">
        <v>4.4835399999999996</v>
      </c>
      <c r="C13" s="183">
        <v>5.2674399999999997</v>
      </c>
      <c r="D13" s="183">
        <v>4.9415500000000003</v>
      </c>
      <c r="E13" s="183">
        <v>5.3518499999999998</v>
      </c>
      <c r="F13" s="183">
        <f t="shared" si="0"/>
        <v>5.3518499999999998</v>
      </c>
      <c r="G13" s="183">
        <v>6.45953</v>
      </c>
      <c r="H13" s="183">
        <v>2.4299400000000002</v>
      </c>
      <c r="I13" s="183">
        <v>3.7439125000000004</v>
      </c>
      <c r="J13" s="183">
        <f t="shared" si="1"/>
        <v>3.7439125000000004</v>
      </c>
      <c r="K13" s="124" t="s">
        <v>597</v>
      </c>
    </row>
    <row r="14" spans="1:11">
      <c r="A14" s="124" t="s">
        <v>555</v>
      </c>
      <c r="B14" s="183">
        <v>31.357299999999999</v>
      </c>
      <c r="C14" s="183">
        <v>41.319499999999998</v>
      </c>
      <c r="D14" s="183">
        <v>37.149099999999997</v>
      </c>
      <c r="E14" s="183">
        <v>10.1896</v>
      </c>
      <c r="F14" s="183">
        <f t="shared" si="0"/>
        <v>10.1896</v>
      </c>
      <c r="G14" s="183">
        <v>54.660699999999999</v>
      </c>
      <c r="H14" s="183">
        <v>3.5433699999999999</v>
      </c>
      <c r="I14" s="183">
        <v>15.626075</v>
      </c>
      <c r="J14" s="183">
        <f t="shared" si="1"/>
        <v>15.626075</v>
      </c>
      <c r="K14" s="124" t="s">
        <v>598</v>
      </c>
    </row>
    <row r="15" spans="1:11">
      <c r="A15" s="124" t="s">
        <v>556</v>
      </c>
      <c r="B15" s="183">
        <v>5.0825999999999998E-5</v>
      </c>
      <c r="C15" s="183">
        <v>6.6239899999999996E-5</v>
      </c>
      <c r="D15" s="183">
        <v>5.5773499999999997E-5</v>
      </c>
      <c r="E15" s="183">
        <v>5.9746500000000001E-5</v>
      </c>
      <c r="F15" s="183">
        <f t="shared" si="0"/>
        <v>5.9746500000000001E-5</v>
      </c>
      <c r="G15" s="183">
        <v>5.2803899999999998E-5</v>
      </c>
      <c r="H15" s="183">
        <v>1.9835199999999999E-5</v>
      </c>
      <c r="I15" s="183">
        <v>3.2461474999999999E-5</v>
      </c>
      <c r="J15" s="183">
        <f t="shared" si="1"/>
        <v>3.2461474999999999E-5</v>
      </c>
      <c r="K15" s="124" t="s">
        <v>599</v>
      </c>
    </row>
    <row r="16" spans="1:11">
      <c r="A16" s="124" t="s">
        <v>557</v>
      </c>
      <c r="B16" s="183">
        <v>0.38533699999999999</v>
      </c>
      <c r="C16" s="183">
        <v>0.45911299999999999</v>
      </c>
      <c r="D16" s="183">
        <v>0.43287199999999998</v>
      </c>
      <c r="E16" s="183">
        <v>0.46382200000000001</v>
      </c>
      <c r="F16" s="183">
        <f t="shared" si="0"/>
        <v>0.46382200000000001</v>
      </c>
      <c r="G16" s="183">
        <v>0.55391599999999996</v>
      </c>
      <c r="H16" s="183">
        <v>0.17615800000000001</v>
      </c>
      <c r="I16" s="183">
        <v>0.24133899999999997</v>
      </c>
      <c r="J16" s="183">
        <f t="shared" si="1"/>
        <v>0.24133899999999997</v>
      </c>
      <c r="K16" s="124" t="s">
        <v>600</v>
      </c>
    </row>
    <row r="17" spans="1:11">
      <c r="A17" s="124" t="s">
        <v>558</v>
      </c>
      <c r="B17" s="183">
        <v>0.35211100000000001</v>
      </c>
      <c r="C17" s="183">
        <v>0.42163200000000001</v>
      </c>
      <c r="D17" s="183">
        <v>0.39335399999999998</v>
      </c>
      <c r="E17" s="183">
        <v>0.41625899999999999</v>
      </c>
      <c r="F17" s="183">
        <f t="shared" si="0"/>
        <v>0.41625899999999999</v>
      </c>
      <c r="G17" s="183">
        <v>0.48594500000000002</v>
      </c>
      <c r="H17" s="183">
        <v>0.201048</v>
      </c>
      <c r="I17" s="183">
        <v>0.30101624999999999</v>
      </c>
      <c r="J17" s="183">
        <f t="shared" si="1"/>
        <v>0.30101624999999999</v>
      </c>
      <c r="K17" s="124" t="s">
        <v>601</v>
      </c>
    </row>
    <row r="18" spans="1:11">
      <c r="A18" s="124" t="s">
        <v>559</v>
      </c>
      <c r="B18" s="183">
        <v>0.36884299999999998</v>
      </c>
      <c r="C18" s="183">
        <v>0.44159500000000002</v>
      </c>
      <c r="D18" s="183">
        <v>0.41195599999999999</v>
      </c>
      <c r="E18" s="183">
        <v>0.43391299999999999</v>
      </c>
      <c r="F18" s="183">
        <f t="shared" si="0"/>
        <v>0.43391299999999999</v>
      </c>
      <c r="G18" s="183">
        <v>0.50819000000000003</v>
      </c>
      <c r="H18" s="183">
        <v>0.20601800000000001</v>
      </c>
      <c r="I18" s="183">
        <v>0.31580750000000002</v>
      </c>
      <c r="J18" s="183">
        <f t="shared" si="1"/>
        <v>0.31580750000000002</v>
      </c>
      <c r="K18" s="124" t="s">
        <v>601</v>
      </c>
    </row>
    <row r="19" spans="1:11">
      <c r="A19" s="124" t="s">
        <v>560</v>
      </c>
      <c r="B19" s="183">
        <v>4.5083099999999998</v>
      </c>
      <c r="C19" s="183">
        <v>6.9965400000000004</v>
      </c>
      <c r="D19" s="183">
        <v>4.6730600000000004</v>
      </c>
      <c r="E19" s="183">
        <v>1.51301</v>
      </c>
      <c r="F19" s="183">
        <f t="shared" si="0"/>
        <v>1.51301</v>
      </c>
      <c r="G19" s="183">
        <v>1.2875799999999999</v>
      </c>
      <c r="H19" s="183">
        <v>0.59379800000000005</v>
      </c>
      <c r="I19" s="183">
        <v>0.58501500000000006</v>
      </c>
      <c r="J19" s="183">
        <f t="shared" si="1"/>
        <v>0.58501500000000006</v>
      </c>
      <c r="K19" s="124" t="s">
        <v>105</v>
      </c>
    </row>
    <row r="20" spans="1:11">
      <c r="A20" s="124" t="s">
        <v>758</v>
      </c>
      <c r="B20" s="124">
        <v>384</v>
      </c>
      <c r="C20" s="124">
        <v>2048</v>
      </c>
      <c r="D20" s="124">
        <v>2048</v>
      </c>
      <c r="E20" s="124">
        <v>1200</v>
      </c>
      <c r="F20" s="183">
        <v>450</v>
      </c>
      <c r="G20" s="124">
        <v>3584</v>
      </c>
      <c r="H20" s="124">
        <v>90</v>
      </c>
      <c r="K20" s="124" t="s">
        <v>759</v>
      </c>
    </row>
    <row r="22" spans="1:11">
      <c r="A22" s="124" t="s">
        <v>760</v>
      </c>
      <c r="B22" s="183">
        <v>12.8</v>
      </c>
      <c r="C22" s="183">
        <v>12.8</v>
      </c>
      <c r="D22" s="183">
        <v>12.8</v>
      </c>
      <c r="E22" s="183">
        <v>12</v>
      </c>
      <c r="F22" s="183">
        <v>12</v>
      </c>
      <c r="G22" s="183">
        <v>25.6</v>
      </c>
      <c r="H22" s="183">
        <v>12</v>
      </c>
      <c r="I22" s="183">
        <v>12.8</v>
      </c>
      <c r="J22" s="183">
        <v>12.8</v>
      </c>
      <c r="K22" s="124" t="s">
        <v>419</v>
      </c>
    </row>
    <row r="23" spans="1:11">
      <c r="A23" s="124" t="s">
        <v>761</v>
      </c>
      <c r="B23" s="183">
        <f>IF('3 LCA Input'!N13=Batteries!B1,'3 LCA Input'!R13,100)</f>
        <v>100</v>
      </c>
      <c r="C23" s="183">
        <f>IF('3 LCA Input'!N13=Batteries!C1,'3 LCA Input'!R13,100)</f>
        <v>100</v>
      </c>
      <c r="D23" s="183">
        <f>IF('3 LCA Input'!N13=Batteries!D1,'3 LCA Input'!R13,100)</f>
        <v>100</v>
      </c>
      <c r="E23" s="183">
        <f>IF('3 LCA Input'!N13=Batteries!E1,'3 LCA Input'!R13,100)</f>
        <v>100</v>
      </c>
      <c r="F23" s="183">
        <f>IF('3 LCA Input'!N13=Batteries!F1,'3 LCA Input'!R13,100)</f>
        <v>100</v>
      </c>
      <c r="G23" s="183">
        <f>IF('3 LCA Input'!N13=Batteries!G1,'3 LCA Input'!R13,100)</f>
        <v>200</v>
      </c>
      <c r="H23" s="183">
        <f>IF('3 LCA Input'!N13=Batteries!H1,'3 LCA Input'!R13,100)</f>
        <v>100</v>
      </c>
      <c r="I23" s="183">
        <f>IF('3 LCA Input'!N13=Batteries!I1,'3 LCA Input'!R13,100)</f>
        <v>100</v>
      </c>
      <c r="J23" s="183">
        <f>IF('3 LCA Input'!N13=Batteries!J1,'3 LCA Input'!R13,(100*(2.8/3.3)))</f>
        <v>84.848484848484844</v>
      </c>
      <c r="K23" s="124" t="s">
        <v>422</v>
      </c>
    </row>
    <row r="24" spans="1:11">
      <c r="A24" s="124" t="s">
        <v>484</v>
      </c>
      <c r="B24" s="183">
        <v>5.4</v>
      </c>
      <c r="C24" s="183">
        <v>6.5</v>
      </c>
      <c r="D24" s="183">
        <v>6.5</v>
      </c>
      <c r="E24" s="183">
        <v>32.700000000000003</v>
      </c>
      <c r="F24" s="183">
        <v>30.3</v>
      </c>
      <c r="G24" s="183">
        <v>11.8</v>
      </c>
      <c r="H24" s="183">
        <v>25</v>
      </c>
      <c r="I24" s="183">
        <f>G24*(5/4)</f>
        <v>14.75</v>
      </c>
      <c r="J24" s="183">
        <f>G24</f>
        <v>11.8</v>
      </c>
      <c r="K24" s="124" t="s">
        <v>413</v>
      </c>
    </row>
    <row r="25" spans="1:11">
      <c r="A25" s="124" t="s">
        <v>762</v>
      </c>
      <c r="B25" s="189">
        <v>0.6</v>
      </c>
      <c r="C25" s="189">
        <v>0.8</v>
      </c>
      <c r="D25" s="189">
        <v>0.8</v>
      </c>
      <c r="E25" s="189">
        <v>0.5</v>
      </c>
      <c r="F25" s="189">
        <v>0.5</v>
      </c>
      <c r="G25" s="189">
        <v>0.8</v>
      </c>
      <c r="H25" s="189">
        <v>0.5</v>
      </c>
      <c r="I25" s="189">
        <v>0.7</v>
      </c>
      <c r="J25" s="189">
        <v>0.8</v>
      </c>
    </row>
    <row r="26" spans="1:11">
      <c r="A26" s="124" t="s">
        <v>763</v>
      </c>
      <c r="B26" s="183">
        <v>500</v>
      </c>
      <c r="C26" s="183">
        <v>2000</v>
      </c>
      <c r="D26" s="183">
        <v>2000</v>
      </c>
      <c r="E26" s="183">
        <v>2000</v>
      </c>
      <c r="F26" s="183">
        <v>750</v>
      </c>
      <c r="G26" s="183">
        <v>3500</v>
      </c>
      <c r="H26" s="183">
        <v>150</v>
      </c>
      <c r="I26" s="183">
        <f>G26/2</f>
        <v>1750</v>
      </c>
      <c r="J26" s="183">
        <v>1400</v>
      </c>
      <c r="K26" s="124" t="s">
        <v>764</v>
      </c>
    </row>
    <row r="27" spans="1:11">
      <c r="A27" s="124" t="s">
        <v>765</v>
      </c>
      <c r="B27" s="183">
        <v>20</v>
      </c>
      <c r="C27" s="183">
        <v>20</v>
      </c>
      <c r="D27" s="183">
        <v>20</v>
      </c>
      <c r="E27" s="183">
        <v>15</v>
      </c>
      <c r="F27" s="183">
        <v>15</v>
      </c>
      <c r="G27" s="183">
        <v>22</v>
      </c>
      <c r="H27" s="183">
        <v>8</v>
      </c>
      <c r="I27" s="183">
        <v>12</v>
      </c>
      <c r="J27" s="183">
        <v>3.5</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A67A-37DB-41A5-983D-0473C74327D1}">
  <sheetPr codeName="Sheet24"/>
  <dimension ref="A1:G36"/>
  <sheetViews>
    <sheetView workbookViewId="0">
      <selection activeCell="J29" sqref="J29"/>
    </sheetView>
  </sheetViews>
  <sheetFormatPr baseColWidth="10" defaultColWidth="8.85546875" defaultRowHeight="15"/>
  <cols>
    <col min="1" max="1" width="102.5703125" style="124" bestFit="1" customWidth="1"/>
    <col min="2" max="16384" width="8.85546875" style="124"/>
  </cols>
  <sheetData>
    <row r="1" spans="1:5">
      <c r="A1" s="124" t="s">
        <v>584</v>
      </c>
      <c r="B1" s="124" t="s">
        <v>411</v>
      </c>
      <c r="C1" s="124" t="s">
        <v>766</v>
      </c>
      <c r="D1" s="124" t="s">
        <v>767</v>
      </c>
      <c r="E1" s="124" t="s">
        <v>587</v>
      </c>
    </row>
    <row r="2" spans="1:5">
      <c r="A2" s="124" t="s">
        <v>543</v>
      </c>
      <c r="B2" s="124">
        <v>0.13599</v>
      </c>
      <c r="C2" s="124">
        <v>0.41868</v>
      </c>
      <c r="D2" s="124">
        <v>0.36914412082613601</v>
      </c>
      <c r="E2" s="124" t="s">
        <v>590</v>
      </c>
    </row>
    <row r="3" spans="1:5">
      <c r="A3" s="124" t="s">
        <v>544</v>
      </c>
      <c r="B3" s="124">
        <v>22.99869</v>
      </c>
      <c r="C3" s="124">
        <v>153.73795999999999</v>
      </c>
      <c r="D3" s="124">
        <v>131.87951364416199</v>
      </c>
      <c r="E3" s="124" t="s">
        <v>591</v>
      </c>
    </row>
    <row r="4" spans="1:5">
      <c r="A4" s="124" t="s">
        <v>545</v>
      </c>
      <c r="B4" s="124">
        <v>0.51665000000000005</v>
      </c>
      <c r="C4" s="124">
        <v>2.1139899999999998</v>
      </c>
      <c r="D4" s="124">
        <v>11.464165716847299</v>
      </c>
      <c r="E4" s="124" t="s">
        <v>592</v>
      </c>
    </row>
    <row r="5" spans="1:5">
      <c r="A5" s="124" t="s">
        <v>546</v>
      </c>
      <c r="B5" s="124">
        <v>0.86219000000000001</v>
      </c>
      <c r="C5" s="124">
        <v>3.0511200000000001</v>
      </c>
      <c r="D5" s="124">
        <v>15.8529696986496</v>
      </c>
      <c r="E5" s="124" t="s">
        <v>592</v>
      </c>
    </row>
    <row r="6" spans="1:5">
      <c r="A6" s="124" t="s">
        <v>547</v>
      </c>
      <c r="B6" s="124">
        <v>311.12990000000002</v>
      </c>
      <c r="C6" s="124">
        <v>485.23102</v>
      </c>
      <c r="D6" s="124">
        <v>758.429877855119</v>
      </c>
      <c r="E6" s="124" t="s">
        <v>592</v>
      </c>
    </row>
    <row r="7" spans="1:5">
      <c r="A7" s="124" t="s">
        <v>548</v>
      </c>
      <c r="B7" s="124">
        <v>6.9444100000000004</v>
      </c>
      <c r="C7" s="124">
        <v>22.097519999999999</v>
      </c>
      <c r="D7" s="124">
        <v>28.100778194744901</v>
      </c>
      <c r="E7" s="124" t="s">
        <v>593</v>
      </c>
    </row>
    <row r="8" spans="1:5">
      <c r="A8" s="124" t="s">
        <v>549</v>
      </c>
      <c r="B8" s="124">
        <v>4.2399999999999998E-3</v>
      </c>
      <c r="C8" s="124">
        <v>3.0179999999999998E-2</v>
      </c>
      <c r="D8" s="124">
        <v>5.9828995773120799E-2</v>
      </c>
      <c r="E8" s="124" t="s">
        <v>594</v>
      </c>
    </row>
    <row r="9" spans="1:5">
      <c r="A9" s="124" t="s">
        <v>550</v>
      </c>
      <c r="B9" s="124">
        <v>6.7000000000000002E-4</v>
      </c>
      <c r="C9" s="124">
        <v>2.5100000000000001E-3</v>
      </c>
      <c r="D9" s="124">
        <v>7.8769390531145903E-3</v>
      </c>
      <c r="E9" s="124" t="s">
        <v>595</v>
      </c>
    </row>
    <row r="10" spans="1:5">
      <c r="A10" s="124" t="s">
        <v>551</v>
      </c>
      <c r="B10" s="124">
        <v>1.2566900000000001</v>
      </c>
      <c r="C10" s="124">
        <v>4.36104</v>
      </c>
      <c r="D10" s="124">
        <v>164.08194590737801</v>
      </c>
      <c r="E10" s="124" t="s">
        <v>592</v>
      </c>
    </row>
    <row r="11" spans="1:5">
      <c r="A11" s="124" t="s">
        <v>552</v>
      </c>
      <c r="B11" s="124">
        <v>16.30959</v>
      </c>
      <c r="C11" s="124">
        <v>63.269649999999999</v>
      </c>
      <c r="D11" s="124">
        <v>143.911428299618</v>
      </c>
      <c r="E11" s="124" t="s">
        <v>592</v>
      </c>
    </row>
    <row r="12" spans="1:5">
      <c r="A12" s="124" t="s">
        <v>553</v>
      </c>
      <c r="B12" s="124">
        <v>0.27407999999999999</v>
      </c>
      <c r="C12" s="124">
        <v>0.51688000000000001</v>
      </c>
      <c r="D12" s="124">
        <v>3.6285650267323</v>
      </c>
      <c r="E12" s="124" t="s">
        <v>596</v>
      </c>
    </row>
    <row r="13" spans="1:5">
      <c r="A13" s="124" t="s">
        <v>554</v>
      </c>
      <c r="B13" s="124">
        <v>1.54786</v>
      </c>
      <c r="C13" s="124">
        <v>2.4296099999999998</v>
      </c>
      <c r="D13" s="124">
        <v>2.9282207577282802</v>
      </c>
      <c r="E13" s="124" t="s">
        <v>597</v>
      </c>
    </row>
    <row r="14" spans="1:5">
      <c r="A14" s="124" t="s">
        <v>555</v>
      </c>
      <c r="B14" s="124">
        <v>0.37498999999999999</v>
      </c>
      <c r="C14" s="124">
        <v>4.5066100000000002</v>
      </c>
      <c r="D14" s="124">
        <v>18.266618639173501</v>
      </c>
      <c r="E14" s="124" t="s">
        <v>598</v>
      </c>
    </row>
    <row r="15" spans="1:5">
      <c r="A15" s="124" t="s">
        <v>556</v>
      </c>
      <c r="B15" s="181">
        <v>1.31972E-5</v>
      </c>
      <c r="C15" s="181">
        <v>2.0437399999999998E-5</v>
      </c>
      <c r="D15" s="181">
        <v>2.28702738796951E-5</v>
      </c>
      <c r="E15" s="124" t="s">
        <v>599</v>
      </c>
    </row>
    <row r="16" spans="1:5">
      <c r="A16" s="124" t="s">
        <v>557</v>
      </c>
      <c r="B16" s="124">
        <v>6.7960000000000007E-2</v>
      </c>
      <c r="C16" s="124">
        <v>0.18583</v>
      </c>
      <c r="D16" s="124">
        <v>0.23892493994422401</v>
      </c>
      <c r="E16" s="124" t="s">
        <v>600</v>
      </c>
    </row>
    <row r="17" spans="1:5">
      <c r="A17" s="124" t="s">
        <v>558</v>
      </c>
      <c r="B17" s="124">
        <v>0.22989999999999999</v>
      </c>
      <c r="C17" s="124">
        <v>0.53788999999999998</v>
      </c>
      <c r="D17" s="124">
        <v>0.31929236948748502</v>
      </c>
      <c r="E17" s="124" t="s">
        <v>601</v>
      </c>
    </row>
    <row r="18" spans="1:5">
      <c r="A18" s="124" t="s">
        <v>559</v>
      </c>
      <c r="B18" s="124">
        <v>0.23618</v>
      </c>
      <c r="C18" s="124">
        <v>0.55001999999999995</v>
      </c>
      <c r="D18" s="124">
        <v>0.34193966886458199</v>
      </c>
      <c r="E18" s="124" t="s">
        <v>601</v>
      </c>
    </row>
    <row r="19" spans="1:5">
      <c r="A19" s="124" t="s">
        <v>560</v>
      </c>
      <c r="B19" s="124">
        <v>9.6570000000000003E-2</v>
      </c>
      <c r="C19" s="124">
        <v>0.25279000000000001</v>
      </c>
      <c r="D19" s="124">
        <v>1.2004949363108299</v>
      </c>
      <c r="E19" s="124" t="s">
        <v>105</v>
      </c>
    </row>
    <row r="36" spans="7:7">
      <c r="G36" s="181"/>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D042D-ABD0-4266-B9E3-596A4AEC8544}">
  <sheetPr codeName="Sheet25"/>
  <dimension ref="A1:D19"/>
  <sheetViews>
    <sheetView workbookViewId="0">
      <selection activeCell="J29" sqref="J29"/>
    </sheetView>
  </sheetViews>
  <sheetFormatPr baseColWidth="10" defaultColWidth="8.85546875" defaultRowHeight="15"/>
  <cols>
    <col min="1" max="1" width="102.5703125" style="124" bestFit="1" customWidth="1"/>
    <col min="2" max="2" width="14.7109375" style="124" bestFit="1" customWidth="1"/>
    <col min="3" max="3" width="14.7109375" style="124" customWidth="1"/>
    <col min="4" max="16384" width="8.85546875" style="124"/>
  </cols>
  <sheetData>
    <row r="1" spans="1:4">
      <c r="A1" s="124" t="s">
        <v>768</v>
      </c>
      <c r="B1" s="124" t="s">
        <v>769</v>
      </c>
      <c r="C1" s="124" t="s">
        <v>450</v>
      </c>
      <c r="D1" s="124" t="s">
        <v>587</v>
      </c>
    </row>
    <row r="2" spans="1:4">
      <c r="A2" s="124" t="s">
        <v>543</v>
      </c>
      <c r="B2" s="124">
        <v>0.21984999999999999</v>
      </c>
      <c r="C2" s="124">
        <v>0.14773</v>
      </c>
      <c r="D2" s="124" t="s">
        <v>590</v>
      </c>
    </row>
    <row r="3" spans="1:4">
      <c r="A3" s="124" t="s">
        <v>544</v>
      </c>
      <c r="B3" s="124">
        <v>83.022589999999994</v>
      </c>
      <c r="C3" s="124">
        <v>43.42333</v>
      </c>
      <c r="D3" s="124" t="s">
        <v>591</v>
      </c>
    </row>
    <row r="4" spans="1:4">
      <c r="A4" s="124" t="s">
        <v>545</v>
      </c>
      <c r="B4" s="124">
        <v>1.6015600000000001</v>
      </c>
      <c r="C4" s="124">
        <v>0.96677000000000002</v>
      </c>
      <c r="D4" s="124" t="s">
        <v>592</v>
      </c>
    </row>
    <row r="5" spans="1:4">
      <c r="A5" s="124" t="s">
        <v>546</v>
      </c>
      <c r="B5" s="124">
        <v>1.96451</v>
      </c>
      <c r="C5" s="124">
        <v>1.35639</v>
      </c>
      <c r="D5" s="124" t="s">
        <v>592</v>
      </c>
    </row>
    <row r="6" spans="1:4">
      <c r="A6" s="124" t="s">
        <v>547</v>
      </c>
      <c r="B6" s="124">
        <v>252.94990999999999</v>
      </c>
      <c r="C6" s="124">
        <v>187.50469000000001</v>
      </c>
      <c r="D6" s="124" t="s">
        <v>592</v>
      </c>
    </row>
    <row r="7" spans="1:4">
      <c r="A7" s="124" t="s">
        <v>548</v>
      </c>
      <c r="B7" s="124">
        <v>22.511600000000001</v>
      </c>
      <c r="C7" s="124">
        <v>12.06639</v>
      </c>
      <c r="D7" s="124" t="s">
        <v>593</v>
      </c>
    </row>
    <row r="8" spans="1:4">
      <c r="A8" s="124" t="s">
        <v>549</v>
      </c>
      <c r="B8" s="124">
        <v>0.12540000000000001</v>
      </c>
      <c r="C8" s="124">
        <v>1.533E-2</v>
      </c>
      <c r="D8" s="124" t="s">
        <v>594</v>
      </c>
    </row>
    <row r="9" spans="1:4">
      <c r="A9" s="124" t="s">
        <v>550</v>
      </c>
      <c r="B9" s="124">
        <v>1.7520000000000001E-2</v>
      </c>
      <c r="C9" s="124">
        <v>3.29E-3</v>
      </c>
      <c r="D9" s="124" t="s">
        <v>595</v>
      </c>
    </row>
    <row r="10" spans="1:4">
      <c r="A10" s="124" t="s">
        <v>551</v>
      </c>
      <c r="B10" s="124">
        <v>6.0431299999999997</v>
      </c>
      <c r="C10" s="124">
        <v>4.5148200000000003</v>
      </c>
      <c r="D10" s="124" t="s">
        <v>592</v>
      </c>
    </row>
    <row r="11" spans="1:4">
      <c r="A11" s="124" t="s">
        <v>552</v>
      </c>
      <c r="B11" s="124">
        <v>34.924300000000002</v>
      </c>
      <c r="C11" s="124">
        <v>24.192139999999998</v>
      </c>
      <c r="D11" s="124" t="s">
        <v>592</v>
      </c>
    </row>
    <row r="12" spans="1:4">
      <c r="A12" s="124" t="s">
        <v>553</v>
      </c>
      <c r="B12" s="124">
        <v>2.9678200000000001</v>
      </c>
      <c r="C12" s="124">
        <v>2.6396099999999998</v>
      </c>
      <c r="D12" s="124" t="s">
        <v>596</v>
      </c>
    </row>
    <row r="13" spans="1:4">
      <c r="A13" s="124" t="s">
        <v>554</v>
      </c>
      <c r="B13" s="124">
        <v>832.00597000000005</v>
      </c>
      <c r="C13" s="124">
        <v>822.11931000000004</v>
      </c>
      <c r="D13" s="124" t="s">
        <v>597</v>
      </c>
    </row>
    <row r="14" spans="1:4">
      <c r="A14" s="124" t="s">
        <v>555</v>
      </c>
      <c r="B14" s="124">
        <v>0.73168999999999995</v>
      </c>
      <c r="C14" s="124">
        <v>0.53132999999999997</v>
      </c>
      <c r="D14" s="124" t="s">
        <v>598</v>
      </c>
    </row>
    <row r="15" spans="1:4">
      <c r="A15" s="124" t="s">
        <v>556</v>
      </c>
      <c r="B15" s="181">
        <v>5.9542900000000002E-5</v>
      </c>
      <c r="C15" s="181">
        <v>2.02822E-5</v>
      </c>
      <c r="D15" s="124" t="s">
        <v>599</v>
      </c>
    </row>
    <row r="16" spans="1:4">
      <c r="A16" s="124" t="s">
        <v>557</v>
      </c>
      <c r="B16" s="124">
        <v>0.10301</v>
      </c>
      <c r="C16" s="124">
        <v>7.3999999999999996E-2</v>
      </c>
      <c r="D16" s="124" t="s">
        <v>600</v>
      </c>
    </row>
    <row r="17" spans="1:4">
      <c r="A17" s="124" t="s">
        <v>558</v>
      </c>
      <c r="B17" s="124">
        <v>0.56781999999999999</v>
      </c>
      <c r="C17" s="124">
        <v>0.22628999999999999</v>
      </c>
      <c r="D17" s="124" t="s">
        <v>601</v>
      </c>
    </row>
    <row r="18" spans="1:4">
      <c r="A18" s="124" t="s">
        <v>559</v>
      </c>
      <c r="B18" s="124">
        <v>0.74465000000000003</v>
      </c>
      <c r="C18" s="124">
        <v>0.23949000000000001</v>
      </c>
      <c r="D18" s="124" t="s">
        <v>601</v>
      </c>
    </row>
    <row r="19" spans="1:4">
      <c r="A19" s="124" t="s">
        <v>560</v>
      </c>
      <c r="B19" s="124">
        <v>0.95699000000000001</v>
      </c>
      <c r="C19" s="124">
        <v>0.31701000000000001</v>
      </c>
      <c r="D19" s="124" t="s">
        <v>105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09A5F-EF87-4494-B5C5-1544023EAAB9}">
  <sheetPr codeName="Sheet26"/>
  <dimension ref="A1:G39"/>
  <sheetViews>
    <sheetView workbookViewId="0">
      <selection activeCell="J29" sqref="J29"/>
    </sheetView>
  </sheetViews>
  <sheetFormatPr baseColWidth="10" defaultColWidth="8.85546875" defaultRowHeight="15"/>
  <cols>
    <col min="1" max="1" width="102.5703125" style="124" bestFit="1" customWidth="1"/>
    <col min="2" max="2" width="8.85546875" style="124"/>
    <col min="3" max="3" width="12" style="124" bestFit="1" customWidth="1"/>
    <col min="4" max="5" width="8.85546875" style="124"/>
    <col min="6" max="6" width="12" style="124" bestFit="1" customWidth="1"/>
    <col min="7" max="16384" width="8.85546875" style="124"/>
  </cols>
  <sheetData>
    <row r="1" spans="1:4">
      <c r="A1" s="124" t="s">
        <v>770</v>
      </c>
      <c r="B1" s="124" t="s">
        <v>456</v>
      </c>
      <c r="C1" s="124" t="s">
        <v>771</v>
      </c>
      <c r="D1" s="124" t="s">
        <v>587</v>
      </c>
    </row>
    <row r="2" spans="1:4">
      <c r="A2" s="124" t="s">
        <v>543</v>
      </c>
      <c r="B2" s="124">
        <v>8.4666666666666664E-6</v>
      </c>
      <c r="D2" s="124" t="s">
        <v>590</v>
      </c>
    </row>
    <row r="3" spans="1:4">
      <c r="A3" s="124" t="s">
        <v>544</v>
      </c>
      <c r="B3" s="124">
        <v>2.9984E-3</v>
      </c>
      <c r="D3" s="124" t="s">
        <v>591</v>
      </c>
    </row>
    <row r="4" spans="1:4">
      <c r="A4" s="124" t="s">
        <v>545</v>
      </c>
      <c r="B4" s="124">
        <v>7.8333333333333331E-5</v>
      </c>
      <c r="D4" s="124" t="s">
        <v>592</v>
      </c>
    </row>
    <row r="5" spans="1:4">
      <c r="A5" s="124" t="s">
        <v>546</v>
      </c>
      <c r="B5" s="124">
        <v>1.0489999999999999E-4</v>
      </c>
      <c r="D5" s="124" t="s">
        <v>592</v>
      </c>
    </row>
    <row r="6" spans="1:4">
      <c r="A6" s="124" t="s">
        <v>547</v>
      </c>
      <c r="B6" s="124">
        <v>6.9270999999999994E-3</v>
      </c>
      <c r="D6" s="124" t="s">
        <v>592</v>
      </c>
    </row>
    <row r="7" spans="1:4">
      <c r="A7" s="124" t="s">
        <v>548</v>
      </c>
      <c r="B7" s="124">
        <v>1.7719999999999999E-3</v>
      </c>
      <c r="D7" s="124" t="s">
        <v>593</v>
      </c>
    </row>
    <row r="8" spans="1:4">
      <c r="A8" s="124" t="s">
        <v>549</v>
      </c>
      <c r="B8" s="124">
        <v>7.3333333333333334E-7</v>
      </c>
      <c r="D8" s="124" t="s">
        <v>594</v>
      </c>
    </row>
    <row r="9" spans="1:4">
      <c r="A9" s="124" t="s">
        <v>550</v>
      </c>
      <c r="B9" s="124">
        <v>1.0683700000000001E-7</v>
      </c>
      <c r="D9" s="124" t="s">
        <v>595</v>
      </c>
    </row>
    <row r="10" spans="1:4">
      <c r="A10" s="124" t="s">
        <v>551</v>
      </c>
      <c r="B10" s="124">
        <v>1.2366666666666667E-4</v>
      </c>
      <c r="D10" s="124" t="s">
        <v>592</v>
      </c>
    </row>
    <row r="11" spans="1:4">
      <c r="A11" s="124" t="s">
        <v>552</v>
      </c>
      <c r="B11" s="124">
        <v>1.8520333333333335E-3</v>
      </c>
      <c r="D11" s="124" t="s">
        <v>592</v>
      </c>
    </row>
    <row r="12" spans="1:4">
      <c r="A12" s="124" t="s">
        <v>553</v>
      </c>
      <c r="B12" s="124">
        <v>1.8896666666666666E-4</v>
      </c>
      <c r="D12" s="124" t="s">
        <v>596</v>
      </c>
    </row>
    <row r="13" spans="1:4">
      <c r="A13" s="124" t="s">
        <v>554</v>
      </c>
      <c r="B13" s="124">
        <v>8.6933333333333337E-5</v>
      </c>
      <c r="D13" s="124" t="s">
        <v>597</v>
      </c>
    </row>
    <row r="14" spans="1:4">
      <c r="A14" s="124" t="s">
        <v>555</v>
      </c>
      <c r="B14" s="124">
        <v>1.9633333333333334E-5</v>
      </c>
      <c r="D14" s="124" t="s">
        <v>598</v>
      </c>
    </row>
    <row r="15" spans="1:4">
      <c r="A15" s="124" t="s">
        <v>556</v>
      </c>
      <c r="B15" s="124">
        <v>5.5349666666666671E-10</v>
      </c>
      <c r="D15" s="124" t="s">
        <v>599</v>
      </c>
    </row>
    <row r="16" spans="1:4">
      <c r="A16" s="124" t="s">
        <v>557</v>
      </c>
      <c r="B16" s="124">
        <v>3.7666666666666665E-6</v>
      </c>
      <c r="D16" s="124" t="s">
        <v>600</v>
      </c>
    </row>
    <row r="17" spans="1:4">
      <c r="A17" s="124" t="s">
        <v>558</v>
      </c>
      <c r="B17" s="124">
        <v>7.3000000000000004E-6</v>
      </c>
      <c r="D17" s="124" t="s">
        <v>601</v>
      </c>
    </row>
    <row r="18" spans="1:4">
      <c r="A18" s="124" t="s">
        <v>559</v>
      </c>
      <c r="B18" s="124">
        <v>7.9666666666666678E-6</v>
      </c>
      <c r="D18" s="124" t="s">
        <v>601</v>
      </c>
    </row>
    <row r="19" spans="1:4">
      <c r="A19" s="124" t="s">
        <v>560</v>
      </c>
      <c r="B19" s="124">
        <v>4.5033333333333335E-5</v>
      </c>
      <c r="D19" s="124" t="s">
        <v>105</v>
      </c>
    </row>
    <row r="33" spans="7:7">
      <c r="G33" s="181"/>
    </row>
    <row r="39" spans="7:7">
      <c r="G39" s="181"/>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7"/>
  <dimension ref="A1:J1000"/>
  <sheetViews>
    <sheetView workbookViewId="0">
      <selection activeCell="E7" sqref="E7"/>
    </sheetView>
  </sheetViews>
  <sheetFormatPr baseColWidth="10" defaultColWidth="14.42578125" defaultRowHeight="15" customHeight="1"/>
  <cols>
    <col min="1" max="1" width="10.7109375" customWidth="1"/>
    <col min="2" max="2" width="29.7109375" customWidth="1"/>
    <col min="3" max="4" width="10.7109375" customWidth="1"/>
    <col min="5" max="5" width="34.42578125" customWidth="1"/>
    <col min="6" max="6" width="27" customWidth="1"/>
    <col min="7" max="7" width="28" customWidth="1"/>
    <col min="8" max="8" width="26" customWidth="1"/>
    <col min="9" max="26" width="10.7109375" customWidth="1"/>
  </cols>
  <sheetData>
    <row r="1" spans="1:10" ht="14.25" customHeight="1">
      <c r="A1" s="10"/>
      <c r="B1" s="10"/>
      <c r="C1" s="10"/>
      <c r="D1" s="10"/>
      <c r="E1" s="10"/>
      <c r="F1" s="10"/>
      <c r="G1" s="10"/>
      <c r="H1" s="10"/>
      <c r="I1" s="10"/>
      <c r="J1" s="10"/>
    </row>
    <row r="2" spans="1:10" ht="14.25" customHeight="1">
      <c r="A2" s="10"/>
      <c r="B2" s="10" t="s">
        <v>168</v>
      </c>
      <c r="C2" s="10" t="str">
        <f>'READ ME'!F4</f>
        <v>English</v>
      </c>
      <c r="D2" s="10"/>
      <c r="E2" s="10"/>
      <c r="F2" s="10"/>
      <c r="G2" s="10"/>
      <c r="H2" s="10"/>
      <c r="I2" s="10"/>
      <c r="J2" s="10"/>
    </row>
    <row r="3" spans="1:10" ht="14.25" customHeight="1">
      <c r="A3" s="10"/>
      <c r="B3" s="10" t="s">
        <v>169</v>
      </c>
      <c r="C3" s="10">
        <f>MATCH(C2,E5:H5,0)</f>
        <v>1</v>
      </c>
      <c r="D3" s="10"/>
      <c r="E3" s="10"/>
      <c r="F3" s="10"/>
      <c r="G3" s="10"/>
      <c r="H3" s="10"/>
      <c r="I3" s="10"/>
      <c r="J3" s="10"/>
    </row>
    <row r="4" spans="1:10" ht="14.25" customHeight="1">
      <c r="A4" s="10"/>
      <c r="B4" s="10"/>
      <c r="C4" s="10"/>
      <c r="D4" s="10"/>
      <c r="E4" s="55">
        <v>1</v>
      </c>
      <c r="F4" s="55">
        <v>2</v>
      </c>
      <c r="G4" s="55">
        <v>3</v>
      </c>
      <c r="H4" s="55">
        <v>4</v>
      </c>
      <c r="I4" s="10"/>
      <c r="J4" s="10"/>
    </row>
    <row r="5" spans="1:10" ht="14.25" customHeight="1">
      <c r="A5" s="10"/>
      <c r="B5" s="10" t="s">
        <v>170</v>
      </c>
      <c r="C5" s="10"/>
      <c r="D5" s="10"/>
      <c r="E5" s="10" t="s">
        <v>1</v>
      </c>
      <c r="F5" s="10" t="s">
        <v>171</v>
      </c>
      <c r="G5" s="10" t="s">
        <v>172</v>
      </c>
      <c r="H5" s="10" t="s">
        <v>173</v>
      </c>
      <c r="I5" s="10"/>
      <c r="J5" s="10"/>
    </row>
    <row r="6" spans="1:10" ht="15" customHeight="1">
      <c r="A6" s="10"/>
      <c r="B6" s="56" t="str">
        <f t="shared" ref="B6:B142" si="0">INDEX(E6:H6,$C$3)</f>
        <v>Design Tool Box for solar powered Cold Rooms</v>
      </c>
      <c r="C6" s="427" t="s">
        <v>174</v>
      </c>
      <c r="D6" s="428"/>
      <c r="E6" s="57" t="s">
        <v>175</v>
      </c>
      <c r="F6" s="58" t="s">
        <v>176</v>
      </c>
      <c r="G6" s="58"/>
      <c r="H6" s="58"/>
      <c r="I6" s="10"/>
      <c r="J6" s="10"/>
    </row>
    <row r="7" spans="1:10" ht="14.25" customHeight="1">
      <c r="A7" s="10"/>
      <c r="B7" s="56" t="str">
        <f t="shared" si="0"/>
        <v xml:space="preserve">Read Me Sheet </v>
      </c>
      <c r="C7" s="429"/>
      <c r="D7" s="430"/>
      <c r="E7" s="59" t="s">
        <v>177</v>
      </c>
      <c r="F7" s="60" t="s">
        <v>178</v>
      </c>
      <c r="G7" s="60"/>
      <c r="H7" s="60"/>
      <c r="I7" s="10"/>
      <c r="J7" s="10"/>
    </row>
    <row r="8" spans="1:10" ht="14.25" customHeight="1">
      <c r="A8" s="10"/>
      <c r="B8" s="56" t="str">
        <f t="shared" si="0"/>
        <v>Introduction</v>
      </c>
      <c r="C8" s="429"/>
      <c r="D8" s="430"/>
      <c r="E8" s="59" t="s">
        <v>179</v>
      </c>
      <c r="F8" s="60" t="s">
        <v>179</v>
      </c>
      <c r="G8" s="60"/>
      <c r="H8" s="60"/>
      <c r="I8" s="10"/>
      <c r="J8" s="10"/>
    </row>
    <row r="9" spans="1:10" ht="14.25" customHeight="1">
      <c r="A9" s="10"/>
      <c r="B9" s="61" t="str">
        <f t="shared" si="0"/>
        <v xml:space="preserve">This tool calculates the required power of a water chiller for cold rooms to cool different products from a given to a desired temperature and gives an economic analysis. Examplary data is filled and and can be modified by own data. </v>
      </c>
      <c r="C9" s="429"/>
      <c r="D9" s="430"/>
      <c r="E9" s="62" t="s">
        <v>180</v>
      </c>
      <c r="F9" s="60" t="s">
        <v>181</v>
      </c>
      <c r="G9" s="60"/>
      <c r="H9" s="60"/>
      <c r="I9" s="10"/>
      <c r="J9" s="10"/>
    </row>
    <row r="10" spans="1:10" ht="14.25" customHeight="1">
      <c r="A10" s="10"/>
      <c r="B10" s="56" t="str">
        <f t="shared" si="0"/>
        <v>Tips &amp; Tricks</v>
      </c>
      <c r="C10" s="429"/>
      <c r="D10" s="430"/>
      <c r="E10" s="59" t="s">
        <v>182</v>
      </c>
      <c r="F10" s="60" t="s">
        <v>183</v>
      </c>
      <c r="G10" s="60"/>
      <c r="H10" s="60"/>
      <c r="I10" s="10"/>
      <c r="J10" s="10"/>
    </row>
    <row r="11" spans="1:10" ht="14.25" customHeight="1">
      <c r="A11" s="10"/>
      <c r="B11" s="56" t="str">
        <f t="shared" si="0"/>
        <v xml:space="preserve">● Enter values into white (non-coloured) cells only!
● None entry cells (coloured cells) are protected. Unprotect first if changes are necessary
</v>
      </c>
      <c r="C11" s="429"/>
      <c r="D11" s="430"/>
      <c r="E11" s="63" t="s">
        <v>184</v>
      </c>
      <c r="F11" s="60" t="s">
        <v>185</v>
      </c>
      <c r="G11" s="60"/>
      <c r="H11" s="60"/>
      <c r="I11" s="10"/>
      <c r="J11" s="10"/>
    </row>
    <row r="12" spans="1:10" ht="14.25" customHeight="1">
      <c r="A12" s="10"/>
      <c r="B12" s="56" t="str">
        <f t="shared" si="0"/>
        <v>Overview of the following sheets</v>
      </c>
      <c r="C12" s="429"/>
      <c r="D12" s="430"/>
      <c r="E12" s="63" t="s">
        <v>186</v>
      </c>
      <c r="F12" s="60" t="s">
        <v>187</v>
      </c>
      <c r="G12" s="60"/>
      <c r="H12" s="60"/>
      <c r="I12" s="10"/>
      <c r="J12" s="10"/>
    </row>
    <row r="13" spans="1:10" ht="14.25" customHeight="1">
      <c r="A13" s="10"/>
      <c r="B13" s="56" t="str">
        <f t="shared" si="0"/>
        <v>1. Geographic Data</v>
      </c>
      <c r="C13" s="429"/>
      <c r="D13" s="430"/>
      <c r="E13" s="63" t="s">
        <v>188</v>
      </c>
      <c r="F13" s="63" t="s">
        <v>188</v>
      </c>
      <c r="G13" s="63" t="s">
        <v>188</v>
      </c>
      <c r="H13" s="63" t="s">
        <v>188</v>
      </c>
      <c r="I13" s="10"/>
      <c r="J13" s="10"/>
    </row>
    <row r="14" spans="1:10" ht="14.25" customHeight="1">
      <c r="A14" s="10"/>
      <c r="B14" s="56" t="str">
        <f t="shared" si="0"/>
        <v>2. Input</v>
      </c>
      <c r="C14" s="429"/>
      <c r="D14" s="430"/>
      <c r="E14" s="59" t="s">
        <v>189</v>
      </c>
      <c r="F14" s="59" t="s">
        <v>189</v>
      </c>
      <c r="G14" s="59" t="s">
        <v>189</v>
      </c>
      <c r="H14" s="59" t="s">
        <v>189</v>
      </c>
      <c r="I14" s="10"/>
      <c r="J14" s="10"/>
    </row>
    <row r="15" spans="1:10" ht="14.25" customHeight="1">
      <c r="A15" s="10"/>
      <c r="B15" s="56" t="str">
        <f t="shared" si="0"/>
        <v>3. Cooling Curve</v>
      </c>
      <c r="C15" s="429"/>
      <c r="D15" s="430"/>
      <c r="E15" s="59" t="s">
        <v>190</v>
      </c>
      <c r="F15" s="59" t="s">
        <v>190</v>
      </c>
      <c r="G15" s="59" t="s">
        <v>190</v>
      </c>
      <c r="H15" s="59" t="s">
        <v>190</v>
      </c>
      <c r="I15" s="10"/>
      <c r="J15" s="10"/>
    </row>
    <row r="16" spans="1:10" ht="14.25" customHeight="1">
      <c r="A16" s="10"/>
      <c r="B16" s="56" t="str">
        <f t="shared" si="0"/>
        <v>4. Output</v>
      </c>
      <c r="C16" s="429"/>
      <c r="D16" s="430"/>
      <c r="E16" s="59" t="s">
        <v>191</v>
      </c>
      <c r="F16" s="59" t="s">
        <v>191</v>
      </c>
      <c r="G16" s="59" t="s">
        <v>191</v>
      </c>
      <c r="H16" s="59" t="s">
        <v>191</v>
      </c>
      <c r="I16" s="10"/>
      <c r="J16" s="10"/>
    </row>
    <row r="17" spans="1:10" ht="14.25" customHeight="1">
      <c r="A17" s="10"/>
      <c r="B17" s="56" t="str">
        <f t="shared" si="0"/>
        <v>5. Weather Data</v>
      </c>
      <c r="C17" s="429"/>
      <c r="D17" s="430"/>
      <c r="E17" s="59" t="s">
        <v>192</v>
      </c>
      <c r="F17" s="59" t="s">
        <v>192</v>
      </c>
      <c r="G17" s="59" t="s">
        <v>192</v>
      </c>
      <c r="H17" s="59" t="s">
        <v>192</v>
      </c>
      <c r="I17" s="10"/>
      <c r="J17" s="10"/>
    </row>
    <row r="18" spans="1:10" ht="14.25" customHeight="1">
      <c r="A18" s="10"/>
      <c r="B18" s="56" t="str">
        <f t="shared" si="0"/>
        <v>Calculation Sheet (Hidden)</v>
      </c>
      <c r="C18" s="429"/>
      <c r="D18" s="430"/>
      <c r="E18" s="59" t="s">
        <v>193</v>
      </c>
      <c r="F18" s="60" t="s">
        <v>194</v>
      </c>
      <c r="G18" s="60"/>
      <c r="H18" s="60"/>
      <c r="I18" s="10"/>
      <c r="J18" s="10"/>
    </row>
    <row r="19" spans="1:10" ht="14.25" customHeight="1">
      <c r="A19" s="10"/>
      <c r="B19" s="56" t="str">
        <f t="shared" si="0"/>
        <v>Translation sheet (Hidden)</v>
      </c>
      <c r="C19" s="429"/>
      <c r="D19" s="430"/>
      <c r="E19" s="59" t="s">
        <v>195</v>
      </c>
      <c r="F19" s="60" t="s">
        <v>196</v>
      </c>
      <c r="G19" s="60"/>
      <c r="H19" s="60"/>
      <c r="I19" s="10"/>
      <c r="J19" s="10"/>
    </row>
    <row r="20" spans="1:10" ht="14.25" customHeight="1">
      <c r="A20" s="10"/>
      <c r="B20" s="56" t="str">
        <f t="shared" si="0"/>
        <v xml:space="preserve">For selecting basic site information: ambient temperatures or solar radiation. </v>
      </c>
      <c r="C20" s="429"/>
      <c r="D20" s="430"/>
      <c r="E20" s="59" t="s">
        <v>197</v>
      </c>
      <c r="F20" s="60" t="s">
        <v>198</v>
      </c>
      <c r="G20" s="60" t="s">
        <v>199</v>
      </c>
      <c r="H20" s="60"/>
      <c r="I20" s="10"/>
      <c r="J20" s="10"/>
    </row>
    <row r="21" spans="1:10" ht="14.25" customHeight="1">
      <c r="A21" s="10"/>
      <c r="B21" s="56" t="str">
        <f t="shared" si="0"/>
        <v>For adding data about the product to be cooled under given conditions</v>
      </c>
      <c r="C21" s="429"/>
      <c r="D21" s="430"/>
      <c r="E21" s="59" t="s">
        <v>200</v>
      </c>
      <c r="F21" s="60" t="s">
        <v>201</v>
      </c>
      <c r="G21" s="60"/>
      <c r="H21" s="60"/>
      <c r="I21" s="10"/>
      <c r="J21" s="10"/>
    </row>
    <row r="22" spans="1:10" ht="14.25" customHeight="1">
      <c r="A22" s="10"/>
      <c r="B22" s="56" t="str">
        <f t="shared" si="0"/>
        <v>Visualization of the Cooling Curve and Cooling Load profile</v>
      </c>
      <c r="C22" s="429"/>
      <c r="D22" s="430"/>
      <c r="E22" s="59" t="s">
        <v>202</v>
      </c>
      <c r="F22" s="60" t="s">
        <v>203</v>
      </c>
      <c r="G22" s="60"/>
      <c r="H22" s="60"/>
      <c r="I22" s="10"/>
      <c r="J22" s="10"/>
    </row>
    <row r="23" spans="1:10" ht="14.25" customHeight="1">
      <c r="A23" s="10"/>
      <c r="B23" s="56" t="str">
        <f t="shared" si="0"/>
        <v>For an overview of the results</v>
      </c>
      <c r="C23" s="429"/>
      <c r="D23" s="430"/>
      <c r="E23" s="59" t="s">
        <v>204</v>
      </c>
      <c r="F23" s="60" t="s">
        <v>205</v>
      </c>
      <c r="G23" s="60"/>
      <c r="H23" s="60"/>
      <c r="I23" s="10"/>
      <c r="J23" s="10"/>
    </row>
    <row r="24" spans="1:10" ht="14.25" customHeight="1">
      <c r="A24" s="10"/>
      <c r="B24" s="56" t="str">
        <f t="shared" si="0"/>
        <v>To add weather data for a specific location</v>
      </c>
      <c r="C24" s="429"/>
      <c r="D24" s="430"/>
      <c r="E24" s="59" t="s">
        <v>206</v>
      </c>
      <c r="F24" s="60" t="s">
        <v>207</v>
      </c>
      <c r="G24" s="60" t="s">
        <v>208</v>
      </c>
      <c r="H24" s="60"/>
      <c r="I24" s="10"/>
      <c r="J24" s="10"/>
    </row>
    <row r="25" spans="1:10" ht="14.25" customHeight="1">
      <c r="A25" s="10"/>
      <c r="B25" s="56" t="str">
        <f t="shared" si="0"/>
        <v>All calculations are done within this sheet</v>
      </c>
      <c r="C25" s="429"/>
      <c r="D25" s="430"/>
      <c r="E25" s="59" t="s">
        <v>209</v>
      </c>
      <c r="F25" s="60" t="s">
        <v>210</v>
      </c>
      <c r="G25" s="60"/>
      <c r="H25" s="60"/>
      <c r="I25" s="10"/>
      <c r="J25" s="10"/>
    </row>
    <row r="26" spans="1:10" ht="14.25" customHeight="1">
      <c r="A26" s="10"/>
      <c r="B26" s="56" t="str">
        <f t="shared" si="0"/>
        <v>Contains the translation into several languages</v>
      </c>
      <c r="C26" s="429"/>
      <c r="D26" s="430"/>
      <c r="E26" s="59" t="s">
        <v>211</v>
      </c>
      <c r="F26" s="60" t="s">
        <v>212</v>
      </c>
      <c r="G26" s="60"/>
      <c r="H26" s="60"/>
      <c r="I26" s="10"/>
      <c r="J26" s="10"/>
    </row>
    <row r="27" spans="1:10" ht="14.25" customHeight="1">
      <c r="A27" s="10"/>
      <c r="B27" s="56" t="str">
        <f t="shared" si="0"/>
        <v>Additional information</v>
      </c>
      <c r="C27" s="429"/>
      <c r="D27" s="430"/>
      <c r="E27" s="59" t="s">
        <v>213</v>
      </c>
      <c r="F27" s="60" t="s">
        <v>214</v>
      </c>
      <c r="G27" s="60"/>
      <c r="H27" s="60"/>
      <c r="I27" s="10"/>
      <c r="J27" s="10"/>
    </row>
    <row r="28" spans="1:10" ht="14.25" customHeight="1">
      <c r="A28" s="10"/>
      <c r="B28" s="56" t="str">
        <f t="shared" si="0"/>
        <v>This tool was created by Solar Cooling Engineering</v>
      </c>
      <c r="C28" s="429"/>
      <c r="D28" s="430"/>
      <c r="E28" s="59" t="s">
        <v>215</v>
      </c>
      <c r="F28" s="60" t="s">
        <v>216</v>
      </c>
      <c r="G28" s="60"/>
      <c r="H28" s="60"/>
      <c r="I28" s="10"/>
      <c r="J28" s="10"/>
    </row>
    <row r="29" spans="1:10" ht="14.25" customHeight="1">
      <c r="A29" s="10"/>
      <c r="B29" s="56" t="str">
        <f t="shared" si="0"/>
        <v>In cooperation with</v>
      </c>
      <c r="C29" s="431"/>
      <c r="D29" s="432"/>
      <c r="E29" s="64" t="s">
        <v>217</v>
      </c>
      <c r="F29" s="65" t="s">
        <v>218</v>
      </c>
      <c r="G29" s="65"/>
      <c r="H29" s="65"/>
      <c r="I29" s="10"/>
      <c r="J29" s="10"/>
    </row>
    <row r="30" spans="1:10" ht="15" customHeight="1">
      <c r="A30" s="10"/>
      <c r="B30" s="56" t="str">
        <f t="shared" si="0"/>
        <v>1. Geographic Data</v>
      </c>
      <c r="C30" s="427" t="s">
        <v>219</v>
      </c>
      <c r="D30" s="428"/>
      <c r="E30" s="57" t="s">
        <v>188</v>
      </c>
      <c r="F30" s="60" t="s">
        <v>220</v>
      </c>
      <c r="G30" s="60"/>
      <c r="H30" s="60"/>
      <c r="I30" s="10"/>
      <c r="J30" s="10"/>
    </row>
    <row r="31" spans="1:10" ht="14.25" customHeight="1">
      <c r="A31" s="10"/>
      <c r="B31" s="56" t="str">
        <f t="shared" si="0"/>
        <v>Mean daily temperature [°C]:</v>
      </c>
      <c r="C31" s="429"/>
      <c r="D31" s="430"/>
      <c r="E31" s="59" t="s">
        <v>54</v>
      </c>
      <c r="F31" s="60" t="s">
        <v>221</v>
      </c>
      <c r="G31" s="60"/>
      <c r="H31" s="60"/>
      <c r="I31" s="10"/>
      <c r="J31" s="10"/>
    </row>
    <row r="32" spans="1:10" ht="14.25" customHeight="1">
      <c r="A32" s="10"/>
      <c r="B32" s="56" t="str">
        <f t="shared" si="0"/>
        <v>Solar irradiation [kWh/m² day]:</v>
      </c>
      <c r="C32" s="429"/>
      <c r="D32" s="430"/>
      <c r="E32" s="59" t="s">
        <v>55</v>
      </c>
      <c r="F32" s="60" t="s">
        <v>222</v>
      </c>
      <c r="G32" s="60"/>
      <c r="H32" s="60"/>
      <c r="I32" s="10"/>
      <c r="J32" s="10"/>
    </row>
    <row r="33" spans="1:10" ht="14.25" customHeight="1">
      <c r="A33" s="10"/>
      <c r="B33" s="56" t="str">
        <f t="shared" si="0"/>
        <v>January</v>
      </c>
      <c r="C33" s="429"/>
      <c r="D33" s="430"/>
      <c r="E33" s="59" t="s">
        <v>41</v>
      </c>
      <c r="F33" s="60" t="s">
        <v>223</v>
      </c>
      <c r="G33" s="60"/>
      <c r="H33" s="60"/>
      <c r="I33" s="10"/>
      <c r="J33" s="10"/>
    </row>
    <row r="34" spans="1:10" ht="14.25" customHeight="1">
      <c r="A34" s="10"/>
      <c r="B34" s="56" t="str">
        <f t="shared" si="0"/>
        <v>February</v>
      </c>
      <c r="C34" s="429"/>
      <c r="D34" s="430"/>
      <c r="E34" s="59" t="s">
        <v>42</v>
      </c>
      <c r="F34" s="60" t="s">
        <v>224</v>
      </c>
      <c r="G34" s="60"/>
      <c r="H34" s="60"/>
      <c r="I34" s="10"/>
      <c r="J34" s="10"/>
    </row>
    <row r="35" spans="1:10" ht="14.25" customHeight="1">
      <c r="A35" s="10"/>
      <c r="B35" s="56" t="str">
        <f t="shared" si="0"/>
        <v>March</v>
      </c>
      <c r="C35" s="429"/>
      <c r="D35" s="430"/>
      <c r="E35" s="59" t="s">
        <v>43</v>
      </c>
      <c r="F35" s="60" t="s">
        <v>225</v>
      </c>
      <c r="G35" s="60"/>
      <c r="H35" s="60"/>
      <c r="I35" s="10"/>
      <c r="J35" s="10"/>
    </row>
    <row r="36" spans="1:10" ht="14.25" customHeight="1">
      <c r="A36" s="10"/>
      <c r="B36" s="56" t="str">
        <f t="shared" si="0"/>
        <v>April</v>
      </c>
      <c r="C36" s="429"/>
      <c r="D36" s="430"/>
      <c r="E36" s="59" t="s">
        <v>44</v>
      </c>
      <c r="F36" s="60" t="s">
        <v>226</v>
      </c>
      <c r="G36" s="60"/>
      <c r="H36" s="60"/>
      <c r="I36" s="10"/>
      <c r="J36" s="10"/>
    </row>
    <row r="37" spans="1:10" ht="14.25" customHeight="1">
      <c r="A37" s="10"/>
      <c r="B37" s="56" t="str">
        <f t="shared" si="0"/>
        <v>May</v>
      </c>
      <c r="C37" s="429"/>
      <c r="D37" s="430"/>
      <c r="E37" s="59" t="s">
        <v>45</v>
      </c>
      <c r="F37" s="60" t="s">
        <v>227</v>
      </c>
      <c r="G37" s="60"/>
      <c r="H37" s="60"/>
      <c r="I37" s="10"/>
      <c r="J37" s="10"/>
    </row>
    <row r="38" spans="1:10" ht="14.25" customHeight="1">
      <c r="A38" s="10"/>
      <c r="B38" s="56" t="str">
        <f t="shared" si="0"/>
        <v>June</v>
      </c>
      <c r="C38" s="429"/>
      <c r="D38" s="430"/>
      <c r="E38" s="59" t="s">
        <v>46</v>
      </c>
      <c r="F38" s="60" t="s">
        <v>228</v>
      </c>
      <c r="G38" s="60"/>
      <c r="H38" s="60"/>
      <c r="I38" s="10"/>
      <c r="J38" s="10"/>
    </row>
    <row r="39" spans="1:10" ht="14.25" customHeight="1">
      <c r="A39" s="10"/>
      <c r="B39" s="56" t="str">
        <f t="shared" si="0"/>
        <v>July</v>
      </c>
      <c r="C39" s="429"/>
      <c r="D39" s="430"/>
      <c r="E39" s="59" t="s">
        <v>47</v>
      </c>
      <c r="F39" s="60" t="s">
        <v>229</v>
      </c>
      <c r="G39" s="60"/>
      <c r="H39" s="60"/>
      <c r="I39" s="10"/>
      <c r="J39" s="10"/>
    </row>
    <row r="40" spans="1:10" ht="14.25" customHeight="1">
      <c r="A40" s="10"/>
      <c r="B40" s="56" t="str">
        <f t="shared" si="0"/>
        <v>August</v>
      </c>
      <c r="C40" s="429"/>
      <c r="D40" s="430"/>
      <c r="E40" s="59" t="s">
        <v>48</v>
      </c>
      <c r="F40" s="60" t="s">
        <v>230</v>
      </c>
      <c r="G40" s="60"/>
      <c r="H40" s="60"/>
      <c r="I40" s="10"/>
      <c r="J40" s="10"/>
    </row>
    <row r="41" spans="1:10" ht="14.25" customHeight="1">
      <c r="A41" s="10"/>
      <c r="B41" s="56" t="str">
        <f t="shared" si="0"/>
        <v>September</v>
      </c>
      <c r="C41" s="429"/>
      <c r="D41" s="430"/>
      <c r="E41" s="59" t="s">
        <v>49</v>
      </c>
      <c r="F41" s="60" t="s">
        <v>231</v>
      </c>
      <c r="G41" s="60"/>
      <c r="H41" s="60"/>
      <c r="I41" s="10"/>
      <c r="J41" s="10"/>
    </row>
    <row r="42" spans="1:10" ht="14.25" customHeight="1">
      <c r="A42" s="10"/>
      <c r="B42" s="56" t="str">
        <f t="shared" si="0"/>
        <v>October</v>
      </c>
      <c r="C42" s="429"/>
      <c r="D42" s="430"/>
      <c r="E42" s="59" t="s">
        <v>50</v>
      </c>
      <c r="F42" s="60" t="s">
        <v>232</v>
      </c>
      <c r="G42" s="60"/>
      <c r="H42" s="60"/>
      <c r="I42" s="10"/>
      <c r="J42" s="10"/>
    </row>
    <row r="43" spans="1:10" ht="14.25" customHeight="1">
      <c r="A43" s="10"/>
      <c r="B43" s="56" t="str">
        <f t="shared" si="0"/>
        <v>November</v>
      </c>
      <c r="C43" s="429"/>
      <c r="D43" s="430"/>
      <c r="E43" s="59" t="s">
        <v>51</v>
      </c>
      <c r="F43" s="60" t="s">
        <v>233</v>
      </c>
      <c r="G43" s="60"/>
      <c r="H43" s="60"/>
      <c r="I43" s="10"/>
      <c r="J43" s="10"/>
    </row>
    <row r="44" spans="1:10" ht="14.25" customHeight="1">
      <c r="A44" s="10"/>
      <c r="B44" s="56" t="str">
        <f t="shared" si="0"/>
        <v>December</v>
      </c>
      <c r="C44" s="429"/>
      <c r="D44" s="430"/>
      <c r="E44" s="59" t="s">
        <v>52</v>
      </c>
      <c r="F44" s="60" t="s">
        <v>234</v>
      </c>
      <c r="G44" s="60"/>
      <c r="H44" s="60"/>
      <c r="I44" s="10"/>
      <c r="J44" s="10"/>
    </row>
    <row r="45" spans="1:10" ht="14.25" customHeight="1">
      <c r="A45" s="10"/>
      <c r="B45" s="56" t="str">
        <f t="shared" si="0"/>
        <v>Locations can be added on the sheet "Weather Data"</v>
      </c>
      <c r="C45" s="429"/>
      <c r="D45" s="430"/>
      <c r="E45" s="59" t="s">
        <v>235</v>
      </c>
      <c r="F45" s="60" t="s">
        <v>236</v>
      </c>
      <c r="G45" s="60" t="s">
        <v>237</v>
      </c>
      <c r="H45" s="60"/>
      <c r="I45" s="10"/>
      <c r="J45" s="10"/>
    </row>
    <row r="46" spans="1:10" ht="14.25" customHeight="1">
      <c r="A46" s="10"/>
      <c r="B46" s="56" t="str">
        <f t="shared" si="0"/>
        <v>Choose location:</v>
      </c>
      <c r="C46" s="429"/>
      <c r="D46" s="430"/>
      <c r="E46" s="59" t="s">
        <v>238</v>
      </c>
      <c r="F46" s="60" t="s">
        <v>239</v>
      </c>
      <c r="G46" s="60" t="s">
        <v>240</v>
      </c>
      <c r="H46" s="60"/>
      <c r="I46" s="10"/>
      <c r="J46" s="10"/>
    </row>
    <row r="47" spans="1:10" ht="14.25" customHeight="1">
      <c r="A47" s="10"/>
      <c r="B47" s="56" t="str">
        <f t="shared" si="0"/>
        <v>Use to obtain indicative monthly irradiation and temperature data for the site:</v>
      </c>
      <c r="C47" s="431"/>
      <c r="D47" s="432"/>
      <c r="E47" s="64" t="s">
        <v>241</v>
      </c>
      <c r="F47" s="65" t="s">
        <v>242</v>
      </c>
      <c r="G47" s="65"/>
      <c r="H47" s="65"/>
      <c r="I47" s="10"/>
      <c r="J47" s="10"/>
    </row>
    <row r="48" spans="1:10" ht="15" customHeight="1">
      <c r="A48" s="10"/>
      <c r="B48" s="56" t="str">
        <f t="shared" si="0"/>
        <v>Input of parameters</v>
      </c>
      <c r="C48" s="427" t="s">
        <v>243</v>
      </c>
      <c r="D48" s="428"/>
      <c r="E48" s="57" t="s">
        <v>244</v>
      </c>
      <c r="F48" s="58" t="s">
        <v>245</v>
      </c>
      <c r="G48" s="58"/>
      <c r="H48" s="58"/>
      <c r="I48" s="10"/>
      <c r="J48" s="10"/>
    </row>
    <row r="49" spans="1:10" ht="14.25" customHeight="1">
      <c r="A49" s="10"/>
      <c r="B49" s="56" t="str">
        <f t="shared" si="0"/>
        <v>Product information</v>
      </c>
      <c r="C49" s="429"/>
      <c r="D49" s="430"/>
      <c r="E49" s="59" t="s">
        <v>74</v>
      </c>
      <c r="F49" s="60" t="s">
        <v>246</v>
      </c>
      <c r="G49" s="60"/>
      <c r="H49" s="60"/>
      <c r="I49" s="10"/>
      <c r="J49" s="10"/>
    </row>
    <row r="50" spans="1:10" ht="14.25" customHeight="1">
      <c r="A50" s="10"/>
      <c r="B50" s="56" t="str">
        <f t="shared" si="0"/>
        <v>Data</v>
      </c>
      <c r="C50" s="429"/>
      <c r="D50" s="430"/>
      <c r="E50" s="59" t="s">
        <v>247</v>
      </c>
      <c r="F50" s="60" t="s">
        <v>248</v>
      </c>
      <c r="G50" s="60"/>
      <c r="H50" s="60"/>
      <c r="I50" s="10"/>
      <c r="J50" s="10"/>
    </row>
    <row r="51" spans="1:10" ht="14.25" customHeight="1">
      <c r="A51" s="10"/>
      <c r="B51" s="56" t="str">
        <f t="shared" si="0"/>
        <v>Total mass to be cooled</v>
      </c>
      <c r="C51" s="429"/>
      <c r="D51" s="430"/>
      <c r="E51" s="59" t="s">
        <v>134</v>
      </c>
      <c r="F51" s="60" t="s">
        <v>249</v>
      </c>
      <c r="G51" s="60"/>
      <c r="H51" s="60"/>
      <c r="I51" s="10"/>
      <c r="J51" s="10"/>
    </row>
    <row r="52" spans="1:10" ht="14.25" customHeight="1">
      <c r="A52" s="10"/>
      <c r="B52" s="56" t="str">
        <f t="shared" si="0"/>
        <v xml:space="preserve"> Moisture content of the product</v>
      </c>
      <c r="C52" s="429"/>
      <c r="D52" s="430"/>
      <c r="E52" s="59" t="s">
        <v>135</v>
      </c>
      <c r="F52" s="60" t="s">
        <v>250</v>
      </c>
      <c r="G52" s="60"/>
      <c r="H52" s="60"/>
      <c r="I52" s="10"/>
      <c r="J52" s="10"/>
    </row>
    <row r="53" spans="1:10" ht="14.25" customHeight="1">
      <c r="A53" s="10"/>
      <c r="B53" s="56" t="str">
        <f t="shared" si="0"/>
        <v xml:space="preserve"> or Heat capacity of the product</v>
      </c>
      <c r="C53" s="429"/>
      <c r="D53" s="430"/>
      <c r="E53" s="59" t="s">
        <v>137</v>
      </c>
      <c r="F53" s="60" t="s">
        <v>251</v>
      </c>
      <c r="G53" s="60"/>
      <c r="H53" s="60"/>
      <c r="I53" s="10"/>
      <c r="J53" s="10"/>
    </row>
    <row r="54" spans="1:10" ht="14.25" customHeight="1">
      <c r="A54" s="10"/>
      <c r="B54" s="56" t="str">
        <f t="shared" si="0"/>
        <v>Mass =</v>
      </c>
      <c r="C54" s="429"/>
      <c r="D54" s="430"/>
      <c r="E54" s="59" t="s">
        <v>75</v>
      </c>
      <c r="F54" s="60" t="s">
        <v>252</v>
      </c>
      <c r="G54" s="60"/>
      <c r="H54" s="60"/>
      <c r="I54" s="10"/>
      <c r="J54" s="10"/>
    </row>
    <row r="55" spans="1:10" ht="14.25" customHeight="1">
      <c r="A55" s="10"/>
      <c r="B55" s="56" t="str">
        <f t="shared" si="0"/>
        <v>MC =</v>
      </c>
      <c r="C55" s="429"/>
      <c r="D55" s="430"/>
      <c r="E55" s="59" t="s">
        <v>77</v>
      </c>
      <c r="F55" s="60" t="s">
        <v>77</v>
      </c>
      <c r="G55" s="60"/>
      <c r="H55" s="60"/>
      <c r="I55" s="10"/>
      <c r="J55" s="10"/>
    </row>
    <row r="56" spans="1:10" ht="14.25" customHeight="1">
      <c r="A56" s="10"/>
      <c r="B56" s="56" t="str">
        <f t="shared" si="0"/>
        <v>cp =</v>
      </c>
      <c r="C56" s="429"/>
      <c r="D56" s="430"/>
      <c r="E56" s="59" t="s">
        <v>78</v>
      </c>
      <c r="F56" s="60" t="s">
        <v>78</v>
      </c>
      <c r="G56" s="60"/>
      <c r="H56" s="60"/>
      <c r="I56" s="10"/>
      <c r="J56" s="10"/>
    </row>
    <row r="57" spans="1:10" ht="14.25" customHeight="1">
      <c r="A57" s="10"/>
      <c r="B57" s="56" t="str">
        <f t="shared" si="0"/>
        <v>kg or l</v>
      </c>
      <c r="C57" s="429"/>
      <c r="D57" s="430"/>
      <c r="E57" s="59" t="s">
        <v>76</v>
      </c>
      <c r="F57" s="60" t="s">
        <v>253</v>
      </c>
      <c r="G57" s="60"/>
      <c r="H57" s="60"/>
      <c r="I57" s="10"/>
      <c r="J57" s="10"/>
    </row>
    <row r="58" spans="1:10" ht="14.25" customHeight="1">
      <c r="A58" s="10"/>
      <c r="B58" s="56" t="str">
        <f t="shared" si="0"/>
        <v>% wet based</v>
      </c>
      <c r="C58" s="429"/>
      <c r="D58" s="430"/>
      <c r="E58" s="59" t="s">
        <v>136</v>
      </c>
      <c r="F58" s="60" t="s">
        <v>254</v>
      </c>
      <c r="G58" s="60"/>
      <c r="H58" s="60"/>
      <c r="I58" s="10"/>
      <c r="J58" s="10"/>
    </row>
    <row r="59" spans="1:10" ht="14.25" customHeight="1">
      <c r="A59" s="10"/>
      <c r="B59" s="56" t="str">
        <f t="shared" si="0"/>
        <v>kJ/kg K</v>
      </c>
      <c r="C59" s="429"/>
      <c r="D59" s="430"/>
      <c r="E59" s="59" t="s">
        <v>79</v>
      </c>
      <c r="F59" s="60" t="s">
        <v>79</v>
      </c>
      <c r="G59" s="60"/>
      <c r="H59" s="60"/>
      <c r="I59" s="10"/>
      <c r="J59" s="10"/>
    </row>
    <row r="60" spans="1:10" ht="14.25" customHeight="1">
      <c r="A60" s="10"/>
      <c r="B60" s="56" t="str">
        <f t="shared" si="0"/>
        <v>Radius</v>
      </c>
      <c r="C60" s="429"/>
      <c r="D60" s="430"/>
      <c r="E60" s="59" t="s">
        <v>139</v>
      </c>
      <c r="F60" s="60" t="s">
        <v>255</v>
      </c>
      <c r="G60" s="60"/>
      <c r="H60" s="60"/>
      <c r="I60" s="10"/>
      <c r="J60" s="10"/>
    </row>
    <row r="61" spans="1:10" ht="14.25" customHeight="1">
      <c r="A61" s="10"/>
      <c r="B61" s="56" t="str">
        <f t="shared" si="0"/>
        <v>Density</v>
      </c>
      <c r="C61" s="429"/>
      <c r="D61" s="430"/>
      <c r="E61" s="59" t="s">
        <v>141</v>
      </c>
      <c r="F61" s="60" t="s">
        <v>256</v>
      </c>
      <c r="G61" s="60"/>
      <c r="H61" s="60"/>
      <c r="I61" s="10"/>
      <c r="J61" s="10"/>
    </row>
    <row r="62" spans="1:10" ht="14.25" customHeight="1">
      <c r="A62" s="10"/>
      <c r="B62" s="56" t="str">
        <f t="shared" si="0"/>
        <v>Convection air - product</v>
      </c>
      <c r="C62" s="429"/>
      <c r="D62" s="430"/>
      <c r="E62" s="59" t="s">
        <v>142</v>
      </c>
      <c r="F62" s="60" t="s">
        <v>257</v>
      </c>
      <c r="G62" s="60"/>
      <c r="H62" s="60"/>
      <c r="I62" s="10"/>
      <c r="J62" s="10"/>
    </row>
    <row r="63" spans="1:10" ht="14.25" customHeight="1">
      <c r="A63" s="10"/>
      <c r="B63" s="56" t="str">
        <f t="shared" si="0"/>
        <v>Conduction coefficient of the product</v>
      </c>
      <c r="C63" s="429"/>
      <c r="D63" s="430"/>
      <c r="E63" s="59" t="s">
        <v>258</v>
      </c>
      <c r="F63" s="60" t="s">
        <v>259</v>
      </c>
      <c r="G63" s="60"/>
      <c r="H63" s="60"/>
      <c r="I63" s="10"/>
      <c r="J63" s="10"/>
    </row>
    <row r="64" spans="1:10" ht="14.25" customHeight="1">
      <c r="A64" s="10"/>
      <c r="B64" s="56" t="str">
        <f t="shared" si="0"/>
        <v>Temperature information</v>
      </c>
      <c r="C64" s="429"/>
      <c r="D64" s="430"/>
      <c r="E64" s="59" t="s">
        <v>85</v>
      </c>
      <c r="F64" s="60" t="s">
        <v>260</v>
      </c>
      <c r="G64" s="60"/>
      <c r="H64" s="60"/>
      <c r="I64" s="10"/>
      <c r="J64" s="10"/>
    </row>
    <row r="65" spans="1:10" ht="14.25" customHeight="1">
      <c r="A65" s="10"/>
      <c r="B65" s="56" t="str">
        <f t="shared" si="0"/>
        <v>Initial temperature of the product</v>
      </c>
      <c r="C65" s="429"/>
      <c r="D65" s="430"/>
      <c r="E65" s="59" t="s">
        <v>129</v>
      </c>
      <c r="F65" s="60" t="s">
        <v>261</v>
      </c>
      <c r="G65" s="60"/>
      <c r="H65" s="60"/>
      <c r="I65" s="10"/>
      <c r="J65" s="10"/>
    </row>
    <row r="66" spans="1:10" ht="14.25" customHeight="1">
      <c r="A66" s="10"/>
      <c r="B66" s="56" t="str">
        <f>INDEX(E66:H66,$C$3)</f>
        <v>Cold room temperature set-point</v>
      </c>
      <c r="C66" s="429"/>
      <c r="D66" s="430"/>
      <c r="E66" s="59" t="s">
        <v>841</v>
      </c>
      <c r="F66" s="60" t="s">
        <v>262</v>
      </c>
      <c r="G66" s="60"/>
      <c r="H66" s="60"/>
      <c r="I66" s="10"/>
      <c r="J66" s="10"/>
    </row>
    <row r="67" spans="1:10" ht="14.25" customHeight="1">
      <c r="A67" s="10"/>
      <c r="B67" s="56" t="str">
        <f t="shared" si="0"/>
        <v>Time to cool down the product</v>
      </c>
      <c r="C67" s="429"/>
      <c r="D67" s="430"/>
      <c r="E67" s="59" t="s">
        <v>263</v>
      </c>
      <c r="F67" s="60" t="s">
        <v>264</v>
      </c>
      <c r="G67" s="60"/>
      <c r="H67" s="60"/>
      <c r="I67" s="10"/>
      <c r="J67" s="10"/>
    </row>
    <row r="68" spans="1:10" ht="14.25" customHeight="1">
      <c r="A68" s="10"/>
      <c r="B68" s="56" t="str">
        <f t="shared" si="0"/>
        <v>How often do you cool down the product</v>
      </c>
      <c r="C68" s="429"/>
      <c r="D68" s="430"/>
      <c r="E68" s="59" t="s">
        <v>265</v>
      </c>
      <c r="F68" s="60" t="s">
        <v>266</v>
      </c>
      <c r="G68" s="60"/>
      <c r="H68" s="60"/>
      <c r="I68" s="10"/>
      <c r="J68" s="10"/>
    </row>
    <row r="69" spans="1:10" ht="14.25" customHeight="1">
      <c r="A69" s="10"/>
      <c r="B69" s="56" t="str">
        <f t="shared" si="0"/>
        <v>per month</v>
      </c>
      <c r="C69" s="429"/>
      <c r="D69" s="430"/>
      <c r="E69" s="59" t="s">
        <v>267</v>
      </c>
      <c r="F69" s="60" t="s">
        <v>268</v>
      </c>
      <c r="G69" s="60"/>
      <c r="H69" s="60"/>
      <c r="I69" s="10"/>
      <c r="J69" s="10"/>
    </row>
    <row r="70" spans="1:10" ht="14.25" customHeight="1">
      <c r="A70" s="10"/>
      <c r="B70" s="66" t="str">
        <f t="shared" si="0"/>
        <v>System information</v>
      </c>
      <c r="C70" s="429"/>
      <c r="D70" s="430"/>
      <c r="E70" s="4" t="s">
        <v>107</v>
      </c>
      <c r="F70" s="60" t="s">
        <v>269</v>
      </c>
      <c r="G70" s="67"/>
      <c r="H70" s="67"/>
      <c r="I70" s="10"/>
      <c r="J70" s="10"/>
    </row>
    <row r="71" spans="1:10" ht="14.25" customHeight="1">
      <c r="A71" s="10"/>
      <c r="B71" s="66" t="str">
        <f t="shared" si="0"/>
        <v>Batteries</v>
      </c>
      <c r="C71" s="429"/>
      <c r="D71" s="430"/>
      <c r="E71" s="4" t="s">
        <v>270</v>
      </c>
      <c r="F71" s="60" t="s">
        <v>270</v>
      </c>
      <c r="G71" s="67"/>
      <c r="H71" s="67"/>
      <c r="I71" s="10"/>
      <c r="J71" s="10"/>
    </row>
    <row r="72" spans="1:10" ht="14.25" customHeight="1">
      <c r="A72" s="10"/>
      <c r="B72" s="66" t="str">
        <f t="shared" si="0"/>
        <v>Autonomy of the system</v>
      </c>
      <c r="C72" s="429"/>
      <c r="D72" s="430"/>
      <c r="E72" s="4" t="s">
        <v>271</v>
      </c>
      <c r="F72" s="60" t="s">
        <v>272</v>
      </c>
      <c r="G72" s="67"/>
      <c r="H72" s="67"/>
      <c r="I72" s="10"/>
      <c r="J72" s="10"/>
    </row>
    <row r="73" spans="1:10" ht="14.25" customHeight="1">
      <c r="A73" s="10"/>
      <c r="B73" s="66" t="str">
        <f t="shared" si="0"/>
        <v>PV system losses (e.g. 25%)</v>
      </c>
      <c r="C73" s="429"/>
      <c r="D73" s="430"/>
      <c r="E73" s="4" t="s">
        <v>842</v>
      </c>
      <c r="F73" s="60" t="s">
        <v>273</v>
      </c>
      <c r="G73" s="67"/>
      <c r="H73" s="67"/>
      <c r="I73" s="10"/>
      <c r="J73" s="10"/>
    </row>
    <row r="74" spans="1:10" ht="14.25" customHeight="1">
      <c r="A74" s="10"/>
      <c r="B74" s="66" t="str">
        <f t="shared" si="0"/>
        <v>PV panels</v>
      </c>
      <c r="C74" s="429"/>
      <c r="D74" s="430"/>
      <c r="E74" s="4" t="s">
        <v>507</v>
      </c>
      <c r="F74" s="60" t="s">
        <v>274</v>
      </c>
      <c r="G74" s="67"/>
      <c r="H74" s="67"/>
      <c r="I74" s="10"/>
      <c r="J74" s="10"/>
    </row>
    <row r="75" spans="1:10" ht="14.25" customHeight="1">
      <c r="A75" s="10"/>
      <c r="B75" s="66" t="str">
        <f t="shared" si="0"/>
        <v>Charge controller</v>
      </c>
      <c r="C75" s="429"/>
      <c r="D75" s="430"/>
      <c r="E75" s="4" t="s">
        <v>843</v>
      </c>
      <c r="F75" s="60" t="s">
        <v>275</v>
      </c>
      <c r="G75" s="67"/>
      <c r="H75" s="67"/>
      <c r="I75" s="10"/>
      <c r="J75" s="10"/>
    </row>
    <row r="76" spans="1:10" ht="14.25" customHeight="1">
      <c r="A76" s="10"/>
      <c r="B76" s="66" t="str">
        <f t="shared" si="0"/>
        <v>Batteries</v>
      </c>
      <c r="C76" s="429"/>
      <c r="D76" s="430"/>
      <c r="E76" s="4" t="s">
        <v>270</v>
      </c>
      <c r="F76" s="60" t="s">
        <v>270</v>
      </c>
      <c r="G76" s="67"/>
      <c r="H76" s="67"/>
      <c r="I76" s="10"/>
      <c r="J76" s="10"/>
    </row>
    <row r="77" spans="1:10" ht="14.25" customHeight="1">
      <c r="A77" s="10"/>
      <c r="B77" s="66" t="str">
        <f t="shared" si="0"/>
        <v>Control unit</v>
      </c>
      <c r="C77" s="429"/>
      <c r="D77" s="430"/>
      <c r="E77" s="4" t="s">
        <v>844</v>
      </c>
      <c r="F77" s="60" t="s">
        <v>276</v>
      </c>
      <c r="G77" s="67"/>
      <c r="H77" s="67"/>
      <c r="I77" s="10"/>
      <c r="J77" s="10"/>
    </row>
    <row r="78" spans="1:10" ht="14.25" customHeight="1">
      <c r="A78" s="10"/>
      <c r="B78" s="66" t="str">
        <f t="shared" si="0"/>
        <v>Compressor</v>
      </c>
      <c r="C78" s="429"/>
      <c r="D78" s="430"/>
      <c r="E78" s="4" t="s">
        <v>277</v>
      </c>
      <c r="F78" s="60" t="s">
        <v>278</v>
      </c>
      <c r="G78" s="67"/>
      <c r="H78" s="67"/>
      <c r="I78" s="10"/>
      <c r="J78" s="10"/>
    </row>
    <row r="79" spans="1:10" ht="14.25" customHeight="1">
      <c r="A79" s="10"/>
      <c r="B79" s="66" t="str">
        <f t="shared" si="0"/>
        <v>Ice storage</v>
      </c>
      <c r="C79" s="429"/>
      <c r="D79" s="430"/>
      <c r="E79" s="4" t="s">
        <v>279</v>
      </c>
      <c r="F79" s="60" t="s">
        <v>280</v>
      </c>
      <c r="G79" s="67"/>
      <c r="H79" s="67"/>
      <c r="I79" s="10"/>
      <c r="J79" s="10"/>
    </row>
    <row r="80" spans="1:10" ht="14.25" customHeight="1">
      <c r="A80" s="10"/>
      <c r="B80" s="66" t="str">
        <f t="shared" si="0"/>
        <v>Water bath</v>
      </c>
      <c r="C80" s="429"/>
      <c r="D80" s="430"/>
      <c r="E80" s="4" t="s">
        <v>281</v>
      </c>
      <c r="F80" s="60" t="s">
        <v>282</v>
      </c>
      <c r="G80" s="67"/>
      <c r="H80" s="67"/>
      <c r="I80" s="10"/>
      <c r="J80" s="10"/>
    </row>
    <row r="81" spans="1:10" ht="14.25" customHeight="1">
      <c r="A81" s="10"/>
      <c r="B81" s="66" t="str">
        <f t="shared" si="0"/>
        <v>Ice on evaporator surface</v>
      </c>
      <c r="C81" s="429"/>
      <c r="D81" s="430"/>
      <c r="E81" s="4" t="s">
        <v>283</v>
      </c>
      <c r="F81" s="60" t="s">
        <v>284</v>
      </c>
      <c r="G81" s="67"/>
      <c r="H81" s="67"/>
      <c r="I81" s="10"/>
      <c r="J81" s="10"/>
    </row>
    <row r="82" spans="1:10" ht="14.25" customHeight="1">
      <c r="A82" s="10"/>
      <c r="B82" s="66" t="str">
        <f t="shared" si="0"/>
        <v>DC pump</v>
      </c>
      <c r="C82" s="429"/>
      <c r="D82" s="430"/>
      <c r="E82" s="4" t="s">
        <v>285</v>
      </c>
      <c r="F82" s="60" t="s">
        <v>286</v>
      </c>
      <c r="G82" s="67"/>
      <c r="H82" s="67"/>
      <c r="I82" s="10"/>
      <c r="J82" s="10"/>
    </row>
    <row r="83" spans="1:10" ht="14.25" customHeight="1">
      <c r="A83" s="10"/>
      <c r="B83" s="66" t="str">
        <f t="shared" si="0"/>
        <v>Fan coil unit</v>
      </c>
      <c r="C83" s="429"/>
      <c r="D83" s="430"/>
      <c r="E83" s="4" t="s">
        <v>287</v>
      </c>
      <c r="F83" s="60" t="s">
        <v>288</v>
      </c>
      <c r="G83" s="67"/>
      <c r="H83" s="67"/>
      <c r="I83" s="10"/>
      <c r="J83" s="10"/>
    </row>
    <row r="84" spans="1:10" ht="14.25" customHeight="1">
      <c r="A84" s="10"/>
      <c r="B84" s="66" t="str">
        <f t="shared" si="0"/>
        <v>Cold room</v>
      </c>
      <c r="C84" s="429"/>
      <c r="D84" s="430"/>
      <c r="E84" s="4" t="s">
        <v>289</v>
      </c>
      <c r="F84" s="60" t="s">
        <v>290</v>
      </c>
      <c r="G84" s="67"/>
      <c r="H84" s="67"/>
      <c r="I84" s="10"/>
      <c r="J84" s="10"/>
    </row>
    <row r="85" spans="1:10" ht="14.25" customHeight="1">
      <c r="A85" s="10"/>
      <c r="B85" s="66" t="str">
        <f t="shared" si="0"/>
        <v>Cooled product</v>
      </c>
      <c r="C85" s="429"/>
      <c r="D85" s="430"/>
      <c r="E85" s="4" t="s">
        <v>291</v>
      </c>
      <c r="F85" s="60" t="s">
        <v>292</v>
      </c>
      <c r="G85" s="67"/>
      <c r="H85" s="67"/>
      <c r="I85" s="10"/>
      <c r="J85" s="10"/>
    </row>
    <row r="86" spans="1:10" ht="14.25" customHeight="1">
      <c r="A86" s="10"/>
      <c r="B86" s="66" t="str">
        <f t="shared" si="0"/>
        <v>Yes</v>
      </c>
      <c r="C86" s="429"/>
      <c r="D86" s="430"/>
      <c r="E86" s="4" t="s">
        <v>14</v>
      </c>
      <c r="F86" s="60" t="s">
        <v>293</v>
      </c>
      <c r="G86" s="67"/>
      <c r="H86" s="67"/>
      <c r="I86" s="10"/>
      <c r="J86" s="10"/>
    </row>
    <row r="87" spans="1:10" ht="14.25" customHeight="1">
      <c r="A87" s="10"/>
      <c r="B87" s="66" t="str">
        <f t="shared" si="0"/>
        <v>No</v>
      </c>
      <c r="C87" s="429"/>
      <c r="D87" s="430"/>
      <c r="E87" s="4" t="s">
        <v>21</v>
      </c>
      <c r="F87" s="60" t="s">
        <v>294</v>
      </c>
      <c r="G87" s="67"/>
      <c r="H87" s="67"/>
      <c r="I87" s="10"/>
      <c r="J87" s="10"/>
    </row>
    <row r="88" spans="1:10" ht="14.25" customHeight="1">
      <c r="A88" s="10"/>
      <c r="B88" s="66" t="str">
        <f t="shared" si="0"/>
        <v>Cold Room</v>
      </c>
      <c r="C88" s="429"/>
      <c r="D88" s="430"/>
      <c r="E88" s="4" t="s">
        <v>295</v>
      </c>
      <c r="F88" s="67" t="s">
        <v>290</v>
      </c>
      <c r="G88" s="67"/>
      <c r="H88" s="67"/>
      <c r="I88" s="10"/>
      <c r="J88" s="10"/>
    </row>
    <row r="89" spans="1:10" ht="14.25" customHeight="1">
      <c r="A89" s="10"/>
      <c r="B89" s="66" t="str">
        <f t="shared" si="0"/>
        <v>Inner length of the cold room</v>
      </c>
      <c r="C89" s="429"/>
      <c r="D89" s="430"/>
      <c r="E89" s="4" t="s">
        <v>95</v>
      </c>
      <c r="F89" s="60" t="s">
        <v>296</v>
      </c>
      <c r="G89" s="67"/>
      <c r="H89" s="67"/>
      <c r="I89" s="10"/>
      <c r="J89" s="10"/>
    </row>
    <row r="90" spans="1:10" ht="14.25" customHeight="1">
      <c r="A90" s="10"/>
      <c r="B90" s="66" t="str">
        <f t="shared" si="0"/>
        <v>Inner width of the cold room</v>
      </c>
      <c r="C90" s="429"/>
      <c r="D90" s="430"/>
      <c r="E90" s="4" t="s">
        <v>96</v>
      </c>
      <c r="F90" s="60" t="s">
        <v>297</v>
      </c>
      <c r="G90" s="67"/>
      <c r="H90" s="67"/>
      <c r="I90" s="10"/>
      <c r="J90" s="10"/>
    </row>
    <row r="91" spans="1:10" ht="14.25" customHeight="1">
      <c r="A91" s="10"/>
      <c r="B91" s="66" t="str">
        <f t="shared" si="0"/>
        <v>Inner height of the cold room</v>
      </c>
      <c r="C91" s="429"/>
      <c r="D91" s="430"/>
      <c r="E91" s="4" t="s">
        <v>97</v>
      </c>
      <c r="F91" s="60" t="s">
        <v>298</v>
      </c>
      <c r="G91" s="67"/>
      <c r="H91" s="67"/>
      <c r="I91" s="10"/>
      <c r="J91" s="10"/>
    </row>
    <row r="92" spans="1:10" ht="14.25" customHeight="1">
      <c r="A92" s="10"/>
      <c r="B92" s="66" t="str">
        <f t="shared" si="0"/>
        <v>Area of the cold room</v>
      </c>
      <c r="C92" s="429"/>
      <c r="D92" s="430"/>
      <c r="E92" s="4" t="s">
        <v>299</v>
      </c>
      <c r="F92" s="60" t="s">
        <v>300</v>
      </c>
      <c r="G92" s="67"/>
      <c r="H92" s="67"/>
      <c r="I92" s="10"/>
      <c r="J92" s="10"/>
    </row>
    <row r="93" spans="1:10" ht="14.25" customHeight="1">
      <c r="A93" s="10"/>
      <c r="B93" s="66" t="str">
        <f t="shared" si="0"/>
        <v>Thermal conductivity of insulation</v>
      </c>
      <c r="C93" s="429"/>
      <c r="D93" s="430"/>
      <c r="E93" s="4" t="s">
        <v>157</v>
      </c>
      <c r="F93" s="60" t="s">
        <v>301</v>
      </c>
      <c r="G93" s="67"/>
      <c r="H93" s="67"/>
      <c r="I93" s="10"/>
      <c r="J93" s="10"/>
    </row>
    <row r="94" spans="1:10" ht="14.25" customHeight="1">
      <c r="A94" s="10"/>
      <c r="B94" s="66" t="str">
        <f t="shared" si="0"/>
        <v>Thickness of insulation</v>
      </c>
      <c r="C94" s="429"/>
      <c r="D94" s="430"/>
      <c r="E94" s="4" t="s">
        <v>159</v>
      </c>
      <c r="F94" s="60" t="s">
        <v>302</v>
      </c>
      <c r="G94" s="67"/>
      <c r="H94" s="67"/>
      <c r="I94" s="10"/>
      <c r="J94" s="10"/>
    </row>
    <row r="95" spans="1:10" ht="14.25" customHeight="1">
      <c r="A95" s="10"/>
      <c r="B95" s="66" t="str">
        <f t="shared" si="0"/>
        <v>Ice storage inside the cold room?</v>
      </c>
      <c r="C95" s="429"/>
      <c r="D95" s="430"/>
      <c r="E95" s="4" t="s">
        <v>160</v>
      </c>
      <c r="F95" s="60" t="s">
        <v>303</v>
      </c>
      <c r="G95" s="67"/>
      <c r="H95" s="67"/>
      <c r="I95" s="10"/>
      <c r="J95" s="10"/>
    </row>
    <row r="96" spans="1:10" ht="14.25" customHeight="1">
      <c r="A96" s="10"/>
      <c r="B96" s="66" t="str">
        <f t="shared" si="0"/>
        <v>Economic information</v>
      </c>
      <c r="C96" s="429"/>
      <c r="D96" s="430"/>
      <c r="E96" s="4" t="s">
        <v>109</v>
      </c>
      <c r="F96" s="60" t="s">
        <v>304</v>
      </c>
      <c r="G96" s="67"/>
      <c r="H96" s="67"/>
      <c r="I96" s="10"/>
      <c r="J96" s="10"/>
    </row>
    <row r="97" spans="1:10" ht="14.25" customHeight="1">
      <c r="A97" s="10"/>
      <c r="B97" s="66" t="str">
        <f t="shared" si="0"/>
        <v>Currency used for calculation</v>
      </c>
      <c r="C97" s="429"/>
      <c r="D97" s="430"/>
      <c r="E97" s="4" t="s">
        <v>305</v>
      </c>
      <c r="F97" s="60" t="s">
        <v>306</v>
      </c>
      <c r="G97" s="67"/>
      <c r="H97" s="67"/>
      <c r="I97" s="10"/>
      <c r="J97" s="10"/>
    </row>
    <row r="98" spans="1:10" ht="14.25" customHeight="1">
      <c r="A98" s="10"/>
      <c r="B98" s="66" t="str">
        <f t="shared" si="0"/>
        <v>Specific cost of PV</v>
      </c>
      <c r="C98" s="429"/>
      <c r="D98" s="430"/>
      <c r="E98" s="4" t="s">
        <v>307</v>
      </c>
      <c r="F98" s="60" t="s">
        <v>308</v>
      </c>
      <c r="G98" s="67"/>
      <c r="H98" s="67"/>
      <c r="I98" s="10"/>
      <c r="J98" s="10"/>
    </row>
    <row r="99" spans="1:10" ht="14.25" customHeight="1">
      <c r="A99" s="10"/>
      <c r="B99" s="66" t="str">
        <f t="shared" si="0"/>
        <v>PV lifetime</v>
      </c>
      <c r="C99" s="429"/>
      <c r="D99" s="430"/>
      <c r="E99" s="4" t="s">
        <v>309</v>
      </c>
      <c r="F99" s="60" t="s">
        <v>310</v>
      </c>
      <c r="G99" s="67"/>
      <c r="H99" s="67"/>
      <c r="I99" s="10"/>
      <c r="J99" s="10"/>
    </row>
    <row r="100" spans="1:10" ht="14.25" customHeight="1">
      <c r="A100" s="10"/>
      <c r="B100" s="66" t="str">
        <f t="shared" si="0"/>
        <v xml:space="preserve">Specif cost of battery  </v>
      </c>
      <c r="C100" s="429"/>
      <c r="D100" s="430"/>
      <c r="E100" s="4" t="s">
        <v>311</v>
      </c>
      <c r="F100" s="60" t="s">
        <v>312</v>
      </c>
      <c r="G100" s="67"/>
      <c r="H100" s="67"/>
      <c r="I100" s="10"/>
      <c r="J100" s="10"/>
    </row>
    <row r="101" spans="1:10" ht="14.25" customHeight="1">
      <c r="A101" s="10"/>
      <c r="B101" s="66" t="str">
        <f t="shared" si="0"/>
        <v>Battery lifetime</v>
      </c>
      <c r="C101" s="429"/>
      <c r="D101" s="430"/>
      <c r="E101" s="4" t="s">
        <v>313</v>
      </c>
      <c r="F101" s="60" t="s">
        <v>314</v>
      </c>
      <c r="G101" s="67"/>
      <c r="H101" s="67"/>
      <c r="I101" s="10"/>
      <c r="J101" s="10"/>
    </row>
    <row r="102" spans="1:10" ht="14.25" customHeight="1">
      <c r="A102" s="10"/>
      <c r="B102" s="66" t="str">
        <f t="shared" si="0"/>
        <v>Cost of solar cooling unit</v>
      </c>
      <c r="C102" s="429"/>
      <c r="D102" s="430"/>
      <c r="E102" s="4" t="s">
        <v>315</v>
      </c>
      <c r="F102" s="60" t="s">
        <v>316</v>
      </c>
      <c r="G102" s="67"/>
      <c r="H102" s="67"/>
      <c r="I102" s="10"/>
      <c r="J102" s="10"/>
    </row>
    <row r="103" spans="1:10" ht="14.25" customHeight="1">
      <c r="A103" s="10"/>
      <c r="B103" s="66" t="str">
        <f t="shared" si="0"/>
        <v>Solar cooling unit lifetime</v>
      </c>
      <c r="C103" s="429"/>
      <c r="D103" s="430"/>
      <c r="E103" s="4" t="s">
        <v>317</v>
      </c>
      <c r="F103" s="60" t="s">
        <v>318</v>
      </c>
      <c r="G103" s="67"/>
      <c r="H103" s="67"/>
      <c r="I103" s="10"/>
      <c r="J103" s="10"/>
    </row>
    <row r="104" spans="1:10" ht="14.25" customHeight="1">
      <c r="A104" s="10"/>
      <c r="B104" s="66" t="str">
        <f t="shared" si="0"/>
        <v>Costs of aditional materials (cold cell, waterchiller box, pipes, water pump)</v>
      </c>
      <c r="C104" s="429"/>
      <c r="D104" s="430"/>
      <c r="E104" s="59" t="s">
        <v>319</v>
      </c>
      <c r="F104" s="60" t="s">
        <v>320</v>
      </c>
      <c r="G104" s="67"/>
      <c r="H104" s="67"/>
      <c r="I104" s="10"/>
      <c r="J104" s="10"/>
    </row>
    <row r="105" spans="1:10" ht="14.25" customHeight="1">
      <c r="A105" s="10"/>
      <c r="B105" s="66" t="str">
        <f t="shared" si="0"/>
        <v>Maintenance costs per year</v>
      </c>
      <c r="C105" s="429"/>
      <c r="D105" s="430"/>
      <c r="E105" s="4" t="s">
        <v>321</v>
      </c>
      <c r="F105" s="60" t="s">
        <v>322</v>
      </c>
      <c r="G105" s="67"/>
      <c r="H105" s="67"/>
      <c r="I105" s="10"/>
      <c r="J105" s="10"/>
    </row>
    <row r="106" spans="1:10" ht="14.25" customHeight="1">
      <c r="A106" s="10"/>
      <c r="B106" s="66" t="str">
        <f t="shared" si="0"/>
        <v>years</v>
      </c>
      <c r="C106" s="429"/>
      <c r="D106" s="430"/>
      <c r="E106" s="4" t="s">
        <v>115</v>
      </c>
      <c r="F106" s="60" t="s">
        <v>323</v>
      </c>
      <c r="G106" s="67"/>
      <c r="H106" s="67"/>
      <c r="I106" s="10"/>
      <c r="J106" s="10"/>
    </row>
    <row r="107" spans="1:10" ht="14.25" customHeight="1">
      <c r="A107" s="10"/>
      <c r="B107" s="66" t="str">
        <f t="shared" si="0"/>
        <v>Additional income per product unit</v>
      </c>
      <c r="C107" s="429"/>
      <c r="D107" s="430"/>
      <c r="E107" s="4" t="s">
        <v>324</v>
      </c>
      <c r="F107" s="60" t="s">
        <v>325</v>
      </c>
      <c r="G107" s="67"/>
      <c r="H107" s="67"/>
      <c r="I107" s="10"/>
      <c r="J107" s="10"/>
    </row>
    <row r="108" spans="1:10" ht="14.25" customHeight="1">
      <c r="A108" s="10"/>
      <c r="B108" s="66" t="str">
        <f t="shared" si="0"/>
        <v>Additional income per month</v>
      </c>
      <c r="C108" s="429"/>
      <c r="D108" s="430"/>
      <c r="E108" s="4" t="s">
        <v>326</v>
      </c>
      <c r="F108" s="60" t="s">
        <v>327</v>
      </c>
      <c r="G108" s="67"/>
      <c r="H108" s="67"/>
      <c r="I108" s="10"/>
      <c r="J108" s="10"/>
    </row>
    <row r="109" spans="1:10" ht="14.25" customHeight="1">
      <c r="A109" s="10"/>
      <c r="B109" s="66" t="str">
        <f t="shared" si="0"/>
        <v>Discount rate</v>
      </c>
      <c r="C109" s="429"/>
      <c r="D109" s="430"/>
      <c r="E109" s="4" t="s">
        <v>328</v>
      </c>
      <c r="F109" s="60" t="s">
        <v>329</v>
      </c>
      <c r="G109" s="67"/>
      <c r="H109" s="67"/>
      <c r="I109" s="10"/>
      <c r="J109" s="10"/>
    </row>
    <row r="110" spans="1:10" ht="14.25" customHeight="1">
      <c r="A110" s="10"/>
      <c r="B110" s="66" t="str">
        <f t="shared" si="0"/>
        <v xml:space="preserve">Inflation  </v>
      </c>
      <c r="C110" s="429"/>
      <c r="D110" s="430"/>
      <c r="E110" s="4" t="s">
        <v>330</v>
      </c>
      <c r="F110" s="60" t="s">
        <v>331</v>
      </c>
      <c r="G110" s="67"/>
      <c r="H110" s="67"/>
      <c r="I110" s="10"/>
      <c r="J110" s="10"/>
    </row>
    <row r="111" spans="1:10" ht="14.25" customHeight="1">
      <c r="A111" s="10"/>
      <c r="B111" s="66" t="e">
        <f t="shared" si="0"/>
        <v>#REF!</v>
      </c>
      <c r="C111" s="429"/>
      <c r="D111" s="430"/>
      <c r="E111" s="4" t="e">
        <f>'2 Technical Input'!#REF!&amp;"/kg or l"</f>
        <v>#REF!</v>
      </c>
      <c r="F111" s="60" t="e">
        <f>'2 Technical Input'!#REF!&amp;"/kg ou l"</f>
        <v>#REF!</v>
      </c>
      <c r="G111" s="67"/>
      <c r="H111" s="67"/>
      <c r="I111" s="10"/>
      <c r="J111" s="10"/>
    </row>
    <row r="112" spans="1:10" ht="14.25" customHeight="1">
      <c r="A112" s="10"/>
      <c r="B112" s="66" t="e">
        <f t="shared" si="0"/>
        <v>#REF!</v>
      </c>
      <c r="C112" s="429"/>
      <c r="D112" s="430"/>
      <c r="E112" s="4" t="e">
        <f>'2 Technical Input'!#REF!&amp;"/Wp"</f>
        <v>#REF!</v>
      </c>
      <c r="F112" s="60" t="e">
        <f>'2 Technical Input'!#REF!&amp;"/Wc"</f>
        <v>#REF!</v>
      </c>
      <c r="G112" s="67"/>
      <c r="H112" s="67"/>
      <c r="I112" s="10"/>
      <c r="J112" s="10"/>
    </row>
    <row r="113" spans="1:10" ht="14.25" customHeight="1">
      <c r="A113" s="10"/>
      <c r="B113" s="66" t="e">
        <f t="shared" si="0"/>
        <v>#REF!</v>
      </c>
      <c r="C113" s="433"/>
      <c r="D113" s="434"/>
      <c r="E113" s="68" t="e">
        <f>'2 Technical Input'!#REF!&amp;"/month"</f>
        <v>#REF!</v>
      </c>
      <c r="F113" s="65" t="e">
        <f>'2 Technical Input'!#REF!&amp;"/mois"</f>
        <v>#REF!</v>
      </c>
      <c r="G113" s="68"/>
      <c r="H113" s="68"/>
      <c r="I113" s="10"/>
      <c r="J113" s="10"/>
    </row>
    <row r="114" spans="1:10" ht="14.25" customHeight="1">
      <c r="A114" s="10"/>
      <c r="B114" s="66" t="str">
        <f t="shared" si="0"/>
        <v>Cooling curve</v>
      </c>
      <c r="C114" s="435" t="s">
        <v>332</v>
      </c>
      <c r="D114" s="428"/>
      <c r="E114" s="4" t="s">
        <v>845</v>
      </c>
      <c r="F114" s="60" t="s">
        <v>333</v>
      </c>
      <c r="G114" s="67"/>
      <c r="H114" s="67"/>
      <c r="I114" s="10"/>
      <c r="J114" s="10"/>
    </row>
    <row r="115" spans="1:10" ht="14.25" customHeight="1">
      <c r="A115" s="10"/>
      <c r="B115" s="66" t="str">
        <f t="shared" si="0"/>
        <v>Temperature in °C</v>
      </c>
      <c r="C115" s="429"/>
      <c r="D115" s="430"/>
      <c r="E115" s="4" t="s">
        <v>334</v>
      </c>
      <c r="F115" s="60" t="s">
        <v>335</v>
      </c>
      <c r="G115" s="67"/>
      <c r="H115" s="67"/>
      <c r="I115" s="10"/>
      <c r="J115" s="10"/>
    </row>
    <row r="116" spans="1:10" ht="14.25" customHeight="1">
      <c r="A116" s="10"/>
      <c r="B116" s="66" t="str">
        <f t="shared" si="0"/>
        <v>Time in h</v>
      </c>
      <c r="C116" s="429"/>
      <c r="D116" s="430"/>
      <c r="E116" s="4" t="s">
        <v>336</v>
      </c>
      <c r="F116" s="60" t="s">
        <v>337</v>
      </c>
      <c r="G116" s="67"/>
      <c r="H116" s="67"/>
      <c r="I116" s="10"/>
      <c r="J116" s="10"/>
    </row>
    <row r="117" spans="1:10" ht="14.25" customHeight="1">
      <c r="A117" s="10"/>
      <c r="B117" s="66" t="str">
        <f t="shared" si="0"/>
        <v>Temperature of the product</v>
      </c>
      <c r="C117" s="429"/>
      <c r="D117" s="430"/>
      <c r="E117" s="4" t="s">
        <v>338</v>
      </c>
      <c r="F117" s="60" t="s">
        <v>339</v>
      </c>
      <c r="G117" s="67"/>
      <c r="H117" s="67"/>
      <c r="I117" s="10"/>
      <c r="J117" s="10"/>
    </row>
    <row r="118" spans="1:10" ht="14.25" customHeight="1">
      <c r="A118" s="10"/>
      <c r="B118" s="66" t="str">
        <f t="shared" si="0"/>
        <v>Accumulated cooling load in kWh</v>
      </c>
      <c r="C118" s="429"/>
      <c r="D118" s="430"/>
      <c r="E118" s="4" t="s">
        <v>846</v>
      </c>
      <c r="F118" s="60" t="s">
        <v>340</v>
      </c>
      <c r="G118" s="67"/>
      <c r="H118" s="67"/>
      <c r="I118" s="10"/>
      <c r="J118" s="10"/>
    </row>
    <row r="119" spans="1:10" ht="14.25" customHeight="1">
      <c r="A119" s="10"/>
      <c r="B119" s="66" t="str">
        <f t="shared" si="0"/>
        <v>Cooling load</v>
      </c>
      <c r="C119" s="429"/>
      <c r="D119" s="430"/>
      <c r="E119" s="4" t="s">
        <v>341</v>
      </c>
      <c r="F119" s="60" t="s">
        <v>342</v>
      </c>
      <c r="G119" s="67"/>
      <c r="H119" s="67"/>
      <c r="I119" s="10"/>
      <c r="J119" s="10"/>
    </row>
    <row r="120" spans="1:10" ht="14.25" customHeight="1">
      <c r="A120" s="10"/>
      <c r="B120" s="66" t="str">
        <f t="shared" si="0"/>
        <v>Thermal losses cold month in kWh</v>
      </c>
      <c r="C120" s="429"/>
      <c r="D120" s="430"/>
      <c r="E120" s="24" t="s">
        <v>343</v>
      </c>
      <c r="F120" s="60" t="s">
        <v>344</v>
      </c>
      <c r="G120" s="67"/>
      <c r="H120" s="67"/>
      <c r="I120" s="10"/>
      <c r="J120" s="10"/>
    </row>
    <row r="121" spans="1:10" ht="14.25" customHeight="1">
      <c r="A121" s="10"/>
      <c r="B121" s="66" t="str">
        <f t="shared" si="0"/>
        <v>Thermal losses hot month in kWh</v>
      </c>
      <c r="C121" s="429"/>
      <c r="D121" s="430"/>
      <c r="E121" s="24" t="s">
        <v>345</v>
      </c>
      <c r="F121" s="60" t="s">
        <v>346</v>
      </c>
      <c r="G121" s="67"/>
      <c r="H121" s="67"/>
      <c r="I121" s="10"/>
      <c r="J121" s="10"/>
    </row>
    <row r="122" spans="1:10" ht="14.25" customHeight="1">
      <c r="A122" s="10"/>
      <c r="B122" s="66" t="str">
        <f t="shared" si="0"/>
        <v>Cooling curve &amp; cooling load</v>
      </c>
      <c r="C122" s="429"/>
      <c r="D122" s="430"/>
      <c r="E122" s="4" t="s">
        <v>847</v>
      </c>
      <c r="F122" s="60" t="s">
        <v>347</v>
      </c>
      <c r="G122" s="67"/>
      <c r="H122" s="67"/>
      <c r="I122" s="10"/>
      <c r="J122" s="10"/>
    </row>
    <row r="123" spans="1:10" ht="14.25" customHeight="1">
      <c r="A123" s="10"/>
      <c r="B123" s="66">
        <f t="shared" si="0"/>
        <v>0</v>
      </c>
      <c r="C123" s="433"/>
      <c r="D123" s="434"/>
      <c r="E123" s="4"/>
      <c r="F123" s="60"/>
      <c r="G123" s="67"/>
      <c r="H123" s="67"/>
      <c r="I123" s="10"/>
      <c r="J123" s="10"/>
    </row>
    <row r="124" spans="1:10" ht="15" customHeight="1">
      <c r="A124" s="10"/>
      <c r="B124" s="66" t="str">
        <f t="shared" si="0"/>
        <v>Results</v>
      </c>
      <c r="C124" s="435" t="s">
        <v>348</v>
      </c>
      <c r="D124" s="428"/>
      <c r="E124" s="1" t="s">
        <v>349</v>
      </c>
      <c r="F124" s="58" t="s">
        <v>350</v>
      </c>
      <c r="G124" s="69"/>
      <c r="H124" s="69"/>
      <c r="I124" s="10"/>
      <c r="J124" s="10"/>
    </row>
    <row r="125" spans="1:10" ht="14.25" customHeight="1">
      <c r="A125" s="10"/>
      <c r="B125" s="66" t="str">
        <f t="shared" si="0"/>
        <v>System design (Secondary system)</v>
      </c>
      <c r="C125" s="429"/>
      <c r="D125" s="430"/>
      <c r="E125" s="4" t="s">
        <v>848</v>
      </c>
      <c r="F125" s="60" t="s">
        <v>351</v>
      </c>
      <c r="G125" s="67"/>
      <c r="H125" s="67"/>
      <c r="I125" s="10"/>
      <c r="J125" s="10"/>
    </row>
    <row r="126" spans="1:10" ht="14.25" customHeight="1">
      <c r="A126" s="10"/>
      <c r="B126" s="66" t="str">
        <f t="shared" si="0"/>
        <v>Cooling units needed:</v>
      </c>
      <c r="C126" s="429"/>
      <c r="D126" s="430"/>
      <c r="E126" s="4" t="s">
        <v>352</v>
      </c>
      <c r="F126" s="60" t="s">
        <v>353</v>
      </c>
      <c r="G126" s="67"/>
      <c r="H126" s="67"/>
      <c r="I126" s="10"/>
      <c r="J126" s="10"/>
    </row>
    <row r="127" spans="1:10" ht="14.25" customHeight="1">
      <c r="A127" s="10"/>
      <c r="B127" s="66" t="str">
        <f t="shared" si="0"/>
        <v>Cooling units costs:</v>
      </c>
      <c r="C127" s="429"/>
      <c r="D127" s="430"/>
      <c r="E127" s="4" t="s">
        <v>354</v>
      </c>
      <c r="F127" s="60" t="s">
        <v>355</v>
      </c>
      <c r="G127" s="67"/>
      <c r="H127" s="67"/>
      <c r="I127" s="10"/>
      <c r="J127" s="10"/>
    </row>
    <row r="128" spans="1:10" ht="14.25" customHeight="1">
      <c r="A128" s="10"/>
      <c r="B128" s="66" t="str">
        <f t="shared" si="0"/>
        <v>Solar PV size:</v>
      </c>
      <c r="C128" s="429"/>
      <c r="D128" s="430"/>
      <c r="E128" s="4" t="s">
        <v>356</v>
      </c>
      <c r="F128" s="60" t="s">
        <v>357</v>
      </c>
      <c r="G128" s="67"/>
      <c r="H128" s="67"/>
      <c r="I128" s="10"/>
      <c r="J128" s="10"/>
    </row>
    <row r="129" spans="1:10" ht="14.25" customHeight="1">
      <c r="A129" s="10"/>
      <c r="B129" s="66" t="str">
        <f t="shared" si="0"/>
        <v>Solar PV costs:</v>
      </c>
      <c r="C129" s="429"/>
      <c r="D129" s="430"/>
      <c r="E129" s="4" t="s">
        <v>358</v>
      </c>
      <c r="F129" s="60" t="s">
        <v>359</v>
      </c>
      <c r="G129" s="67"/>
      <c r="H129" s="67"/>
      <c r="I129" s="10"/>
      <c r="J129" s="10"/>
    </row>
    <row r="130" spans="1:10" ht="14.25" customHeight="1">
      <c r="A130" s="10"/>
      <c r="B130" s="66" t="str">
        <f t="shared" si="0"/>
        <v>Battery size:</v>
      </c>
      <c r="C130" s="429"/>
      <c r="D130" s="430"/>
      <c r="E130" s="4" t="s">
        <v>360</v>
      </c>
      <c r="F130" s="60" t="s">
        <v>361</v>
      </c>
      <c r="G130" s="67"/>
      <c r="H130" s="67"/>
      <c r="I130" s="10"/>
      <c r="J130" s="10"/>
    </row>
    <row r="131" spans="1:10" ht="14.25" customHeight="1">
      <c r="A131" s="10"/>
      <c r="B131" s="66" t="str">
        <f t="shared" si="0"/>
        <v>Battery costs:</v>
      </c>
      <c r="C131" s="429"/>
      <c r="D131" s="430"/>
      <c r="E131" s="4" t="s">
        <v>362</v>
      </c>
      <c r="F131" s="60" t="s">
        <v>363</v>
      </c>
      <c r="G131" s="67"/>
      <c r="H131" s="67"/>
      <c r="I131" s="10"/>
      <c r="J131" s="10"/>
    </row>
    <row r="132" spans="1:10" ht="14.25" customHeight="1">
      <c r="A132" s="10"/>
      <c r="B132" s="66" t="str">
        <f t="shared" si="0"/>
        <v>Total initial investment:</v>
      </c>
      <c r="C132" s="429"/>
      <c r="D132" s="430"/>
      <c r="E132" s="4" t="s">
        <v>364</v>
      </c>
      <c r="F132" s="60" t="s">
        <v>365</v>
      </c>
      <c r="G132" s="67"/>
      <c r="H132" s="67"/>
      <c r="I132" s="10"/>
      <c r="J132" s="10"/>
    </row>
    <row r="133" spans="1:10" ht="14.25" customHeight="1">
      <c r="A133" s="10"/>
      <c r="B133" s="66" t="str">
        <f t="shared" si="0"/>
        <v>Payback period:</v>
      </c>
      <c r="C133" s="429"/>
      <c r="D133" s="430"/>
      <c r="E133" s="4" t="s">
        <v>127</v>
      </c>
      <c r="F133" s="60" t="s">
        <v>366</v>
      </c>
      <c r="G133" s="67"/>
      <c r="H133" s="67"/>
      <c r="I133" s="10"/>
      <c r="J133" s="10"/>
    </row>
    <row r="134" spans="1:10" ht="14.25" customHeight="1">
      <c r="A134" s="10"/>
      <c r="B134" s="66" t="str">
        <f t="shared" si="0"/>
        <v>Net present value:</v>
      </c>
      <c r="C134" s="429"/>
      <c r="D134" s="430"/>
      <c r="E134" s="4" t="s">
        <v>367</v>
      </c>
      <c r="F134" s="60" t="s">
        <v>368</v>
      </c>
      <c r="G134" s="67"/>
      <c r="H134" s="67"/>
      <c r="I134" s="10"/>
      <c r="J134" s="10"/>
    </row>
    <row r="135" spans="1:10" ht="14.25" customHeight="1">
      <c r="A135" s="10"/>
      <c r="B135" s="66" t="str">
        <f t="shared" si="0"/>
        <v>Internal rate of return:</v>
      </c>
      <c r="C135" s="429"/>
      <c r="D135" s="430"/>
      <c r="E135" s="4" t="s">
        <v>369</v>
      </c>
      <c r="F135" s="60" t="s">
        <v>370</v>
      </c>
      <c r="G135" s="67"/>
      <c r="H135" s="67"/>
      <c r="I135" s="10"/>
      <c r="J135" s="10"/>
    </row>
    <row r="136" spans="1:10" ht="14.25" customHeight="1">
      <c r="A136" s="10"/>
      <c r="B136" s="66" t="str">
        <f t="shared" si="0"/>
        <v>System design (Primary system)</v>
      </c>
      <c r="C136" s="429"/>
      <c r="D136" s="430"/>
      <c r="E136" s="4" t="s">
        <v>849</v>
      </c>
      <c r="F136" s="60" t="s">
        <v>371</v>
      </c>
      <c r="G136" s="67"/>
      <c r="H136" s="67"/>
      <c r="I136" s="10"/>
      <c r="J136" s="10"/>
    </row>
    <row r="137" spans="1:10" ht="14.25" customHeight="1">
      <c r="A137" s="10"/>
      <c r="B137" s="66" t="str">
        <f t="shared" si="0"/>
        <v>years</v>
      </c>
      <c r="C137" s="429"/>
      <c r="D137" s="430"/>
      <c r="E137" s="4" t="s">
        <v>115</v>
      </c>
      <c r="F137" s="60" t="s">
        <v>323</v>
      </c>
      <c r="G137" s="67"/>
      <c r="H137" s="67"/>
      <c r="I137" s="10"/>
      <c r="J137" s="10"/>
    </row>
    <row r="138" spans="1:10" ht="14.25" customHeight="1">
      <c r="A138" s="10"/>
      <c r="B138" s="56" t="str">
        <f t="shared" si="0"/>
        <v>Accumulated income &amp; system costs over 20 years</v>
      </c>
      <c r="C138" s="429"/>
      <c r="D138" s="430"/>
      <c r="E138" s="59" t="s">
        <v>372</v>
      </c>
      <c r="F138" s="60" t="s">
        <v>373</v>
      </c>
      <c r="G138" s="67"/>
      <c r="H138" s="67"/>
      <c r="I138" s="10"/>
      <c r="J138" s="10"/>
    </row>
    <row r="139" spans="1:10" ht="14.25" customHeight="1">
      <c r="A139" s="10"/>
      <c r="B139" s="66" t="str">
        <f t="shared" si="0"/>
        <v>Years</v>
      </c>
      <c r="C139" s="429"/>
      <c r="D139" s="430"/>
      <c r="E139" s="4" t="s">
        <v>374</v>
      </c>
      <c r="F139" s="60" t="s">
        <v>375</v>
      </c>
      <c r="G139" s="67"/>
      <c r="H139" s="67"/>
      <c r="I139" s="10"/>
      <c r="J139" s="10"/>
    </row>
    <row r="140" spans="1:10" ht="14.25" customHeight="1">
      <c r="A140" s="10"/>
      <c r="B140" s="66" t="str">
        <f t="shared" si="0"/>
        <v>Accumulated income</v>
      </c>
      <c r="C140" s="429"/>
      <c r="D140" s="430"/>
      <c r="E140" s="4" t="s">
        <v>376</v>
      </c>
      <c r="F140" s="60" t="s">
        <v>377</v>
      </c>
      <c r="G140" s="67"/>
      <c r="H140" s="67"/>
      <c r="I140" s="10"/>
      <c r="J140" s="10"/>
    </row>
    <row r="141" spans="1:10" ht="14.25" customHeight="1">
      <c r="A141" s="10"/>
      <c r="B141" s="56" t="str">
        <f t="shared" si="0"/>
        <v>Accumulated system costs without batteries</v>
      </c>
      <c r="C141" s="429"/>
      <c r="D141" s="430"/>
      <c r="E141" s="59" t="s">
        <v>378</v>
      </c>
      <c r="F141" s="60" t="s">
        <v>379</v>
      </c>
      <c r="G141" s="67"/>
      <c r="H141" s="67"/>
      <c r="I141" s="10"/>
      <c r="J141" s="10"/>
    </row>
    <row r="142" spans="1:10" ht="14.25" customHeight="1">
      <c r="A142" s="10"/>
      <c r="B142" s="56" t="str">
        <f t="shared" si="0"/>
        <v>Accumulated system costs</v>
      </c>
      <c r="C142" s="431"/>
      <c r="D142" s="432"/>
      <c r="E142" s="64" t="s">
        <v>380</v>
      </c>
      <c r="F142" s="65" t="s">
        <v>381</v>
      </c>
      <c r="G142" s="68"/>
      <c r="H142" s="68"/>
      <c r="I142" s="10"/>
      <c r="J142" s="10"/>
    </row>
    <row r="143" spans="1:10" ht="14.25" customHeight="1">
      <c r="A143" s="10"/>
      <c r="B143" s="10"/>
      <c r="C143" s="10"/>
      <c r="D143" s="10"/>
      <c r="E143" s="10"/>
      <c r="F143" s="10"/>
      <c r="G143" s="10"/>
      <c r="H143" s="10"/>
      <c r="I143" s="10"/>
      <c r="J143" s="10"/>
    </row>
    <row r="144" spans="1:10" ht="14.25" customHeight="1">
      <c r="A144" s="10"/>
      <c r="B144" s="10"/>
      <c r="C144" s="10"/>
      <c r="D144" s="10"/>
      <c r="E144" s="10"/>
      <c r="F144" s="10"/>
      <c r="G144" s="10"/>
      <c r="H144" s="10"/>
      <c r="I144" s="10"/>
      <c r="J144" s="10"/>
    </row>
    <row r="145" spans="1:10" ht="14.25" customHeight="1">
      <c r="A145" s="10"/>
      <c r="B145" s="10"/>
      <c r="C145" s="10"/>
      <c r="D145" s="10"/>
      <c r="E145" s="10"/>
      <c r="F145" s="10"/>
      <c r="G145" s="10"/>
      <c r="H145" s="10"/>
      <c r="I145" s="10"/>
      <c r="J145" s="10"/>
    </row>
    <row r="146" spans="1:10" ht="14.25" customHeight="1"/>
    <row r="147" spans="1:10" ht="14.25" customHeight="1"/>
    <row r="148" spans="1:10" ht="14.25" customHeight="1"/>
    <row r="149" spans="1:10" ht="14.25" customHeight="1"/>
    <row r="150" spans="1:10" ht="14.25" customHeight="1"/>
    <row r="151" spans="1:10" ht="14.25" customHeight="1"/>
    <row r="152" spans="1:10" ht="14.25" customHeight="1"/>
    <row r="153" spans="1:10" ht="14.25" customHeight="1"/>
    <row r="154" spans="1:10" ht="14.25" customHeight="1"/>
    <row r="155" spans="1:10" ht="14.25" customHeight="1"/>
    <row r="156" spans="1:10" ht="14.25" customHeight="1"/>
    <row r="157" spans="1:10" ht="14.25" customHeight="1"/>
    <row r="158" spans="1:10" ht="14.25" customHeight="1"/>
    <row r="159" spans="1:10" ht="14.25" customHeight="1"/>
    <row r="160" spans="1:1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5">
    <mergeCell ref="C6:D29"/>
    <mergeCell ref="C30:D47"/>
    <mergeCell ref="C48:D113"/>
    <mergeCell ref="C114:D123"/>
    <mergeCell ref="C124:D142"/>
  </mergeCells>
  <pageMargins left="0.7" right="0.7" top="0.78740157499999996" bottom="0.78740157499999996"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7"/>
  </sheetPr>
  <dimension ref="A1:AB985"/>
  <sheetViews>
    <sheetView showGridLines="0" zoomScale="85" zoomScaleNormal="85" workbookViewId="0">
      <selection activeCell="G6" sqref="G6"/>
    </sheetView>
  </sheetViews>
  <sheetFormatPr baseColWidth="10" defaultColWidth="14.42578125" defaultRowHeight="15" customHeight="1"/>
  <cols>
    <col min="1" max="1" width="11.140625" customWidth="1"/>
    <col min="2" max="2" width="7.85546875" customWidth="1"/>
    <col min="3" max="4" width="10.7109375" customWidth="1"/>
    <col min="5" max="5" width="13.7109375" customWidth="1"/>
    <col min="6" max="6" width="12.42578125" customWidth="1"/>
    <col min="7" max="7" width="14.42578125" customWidth="1"/>
    <col min="8" max="28" width="10.7109375" customWidth="1"/>
  </cols>
  <sheetData>
    <row r="1" spans="1:28" ht="15.75" thickBot="1">
      <c r="A1" s="449"/>
      <c r="B1" s="450"/>
      <c r="C1" s="451" t="str">
        <f>Translation!B48</f>
        <v>Input of parameters</v>
      </c>
      <c r="D1" s="452"/>
      <c r="E1" s="452"/>
      <c r="F1" s="452"/>
      <c r="G1" s="452"/>
      <c r="H1" s="453"/>
      <c r="I1" s="454"/>
      <c r="J1" s="454"/>
      <c r="K1" s="454"/>
      <c r="L1" s="454"/>
      <c r="M1" s="454"/>
      <c r="N1" s="450"/>
      <c r="O1" s="455"/>
      <c r="P1" s="455"/>
      <c r="Q1" s="455"/>
      <c r="R1" s="2"/>
      <c r="S1" s="2"/>
      <c r="T1" s="2"/>
      <c r="U1" s="2"/>
      <c r="V1" s="2"/>
      <c r="W1" s="2"/>
      <c r="X1" s="2"/>
      <c r="Y1" s="2"/>
      <c r="Z1" s="2"/>
      <c r="AA1" s="2"/>
      <c r="AB1" s="2"/>
    </row>
    <row r="2" spans="1:28" ht="14.25" customHeight="1">
      <c r="A2" s="449"/>
      <c r="B2" s="456"/>
      <c r="C2" s="457"/>
      <c r="D2" s="457"/>
      <c r="E2" s="457"/>
      <c r="F2" s="457"/>
      <c r="G2" s="457"/>
      <c r="H2" s="457"/>
      <c r="I2" s="457"/>
      <c r="J2" s="457"/>
      <c r="K2" s="457"/>
      <c r="L2" s="457"/>
      <c r="M2" s="457"/>
      <c r="N2" s="457"/>
      <c r="O2" s="458"/>
      <c r="P2" s="459"/>
      <c r="Q2" s="455"/>
      <c r="R2" s="2"/>
      <c r="S2" s="2"/>
      <c r="T2" s="2"/>
      <c r="U2" s="2"/>
      <c r="V2" s="2"/>
      <c r="W2" s="2"/>
      <c r="X2" s="2"/>
      <c r="Y2" s="2"/>
      <c r="Z2" s="2"/>
      <c r="AA2" s="2"/>
      <c r="AB2" s="2"/>
    </row>
    <row r="3" spans="1:28" ht="14.25" customHeight="1">
      <c r="A3" s="449"/>
      <c r="B3" s="460"/>
      <c r="C3" s="450"/>
      <c r="D3" s="450"/>
      <c r="E3" s="450"/>
      <c r="F3" s="450"/>
      <c r="G3" s="450"/>
      <c r="H3" s="450"/>
      <c r="I3" s="450"/>
      <c r="J3" s="450"/>
      <c r="K3" s="450"/>
      <c r="L3" s="450"/>
      <c r="M3" s="450"/>
      <c r="N3" s="450"/>
      <c r="O3" s="461"/>
      <c r="P3" s="462"/>
      <c r="Q3" s="455"/>
      <c r="R3" s="2"/>
      <c r="S3" s="2"/>
      <c r="T3" s="2"/>
      <c r="U3" s="2"/>
      <c r="V3" s="2"/>
      <c r="W3" s="2"/>
      <c r="X3" s="2"/>
      <c r="Y3" s="2"/>
      <c r="Z3" s="2"/>
      <c r="AA3" s="2"/>
      <c r="AB3" s="2"/>
    </row>
    <row r="4" spans="1:28" ht="14.25" customHeight="1">
      <c r="A4" s="449"/>
      <c r="B4" s="460"/>
      <c r="C4" s="463" t="str">
        <f>Translation!B49</f>
        <v>Product information</v>
      </c>
      <c r="D4" s="450"/>
      <c r="E4" s="450"/>
      <c r="F4" s="464"/>
      <c r="G4" s="453"/>
      <c r="H4" s="453"/>
      <c r="I4" s="450"/>
      <c r="J4" s="450"/>
      <c r="K4" s="450"/>
      <c r="L4" s="450"/>
      <c r="M4" s="450"/>
      <c r="N4" s="450"/>
      <c r="O4" s="461"/>
      <c r="P4" s="462"/>
      <c r="Q4" s="455"/>
      <c r="R4" s="2"/>
      <c r="S4" s="2"/>
      <c r="T4" s="2"/>
      <c r="U4" s="2"/>
      <c r="V4" s="2"/>
      <c r="W4" s="2"/>
      <c r="X4" s="2"/>
      <c r="Y4" s="2"/>
      <c r="Z4" s="2"/>
      <c r="AA4" s="2"/>
      <c r="AB4" s="2"/>
    </row>
    <row r="5" spans="1:28" ht="14.25" customHeight="1">
      <c r="A5" s="449"/>
      <c r="B5" s="460"/>
      <c r="C5" s="450"/>
      <c r="D5" s="450"/>
      <c r="E5" s="450"/>
      <c r="F5" s="450"/>
      <c r="G5" s="450"/>
      <c r="H5" s="450"/>
      <c r="I5" s="450"/>
      <c r="J5" s="450"/>
      <c r="K5" s="450"/>
      <c r="L5" s="450"/>
      <c r="M5" s="450"/>
      <c r="N5" s="450"/>
      <c r="O5" s="461"/>
      <c r="P5" s="462"/>
      <c r="Q5" s="455"/>
      <c r="R5" s="2"/>
      <c r="S5" s="2"/>
      <c r="T5" s="2"/>
      <c r="U5" s="2"/>
      <c r="V5" s="2"/>
      <c r="W5" s="2"/>
      <c r="X5" s="2"/>
      <c r="Y5" s="2"/>
      <c r="Z5" s="2"/>
      <c r="AA5" s="2"/>
      <c r="AB5" s="2"/>
    </row>
    <row r="6" spans="1:28" ht="14.25" customHeight="1">
      <c r="A6" s="449"/>
      <c r="B6" s="460"/>
      <c r="C6" s="450" t="str">
        <f>Translation!B51</f>
        <v>Total mass to be cooled</v>
      </c>
      <c r="D6" s="450"/>
      <c r="E6" s="450"/>
      <c r="F6" s="465" t="str">
        <f>Translation!B54</f>
        <v>Mass =</v>
      </c>
      <c r="G6" s="214">
        <v>400</v>
      </c>
      <c r="H6" s="450" t="s">
        <v>4</v>
      </c>
      <c r="I6" s="450"/>
      <c r="J6" s="450"/>
      <c r="K6" s="450"/>
      <c r="L6" s="450"/>
      <c r="M6" s="450"/>
      <c r="N6" s="450"/>
      <c r="O6" s="461"/>
      <c r="P6" s="462"/>
      <c r="Q6" s="455"/>
      <c r="R6" s="2"/>
      <c r="S6" s="2"/>
      <c r="T6" s="2"/>
      <c r="U6" s="2"/>
      <c r="V6" s="2"/>
      <c r="W6" s="2"/>
      <c r="X6" s="2"/>
      <c r="Y6" s="2"/>
      <c r="Z6" s="2"/>
      <c r="AA6" s="2"/>
      <c r="AB6" s="2"/>
    </row>
    <row r="7" spans="1:28" ht="14.25" customHeight="1">
      <c r="A7" s="449"/>
      <c r="B7" s="460"/>
      <c r="C7" s="450" t="str">
        <f>Translation!B52</f>
        <v xml:space="preserve"> Moisture content of the product</v>
      </c>
      <c r="D7" s="450"/>
      <c r="E7" s="450"/>
      <c r="F7" s="465" t="str">
        <f>Translation!B55</f>
        <v>MC =</v>
      </c>
      <c r="G7" s="215">
        <v>85</v>
      </c>
      <c r="H7" s="450" t="str">
        <f>Translation!B58</f>
        <v>% wet based</v>
      </c>
      <c r="I7" s="450"/>
      <c r="J7" s="450"/>
      <c r="K7" s="450"/>
      <c r="L7" s="450"/>
      <c r="M7" s="450"/>
      <c r="N7" s="450"/>
      <c r="O7" s="461"/>
      <c r="P7" s="462"/>
      <c r="Q7" s="455"/>
      <c r="R7" s="2"/>
      <c r="S7" s="2"/>
      <c r="T7" s="2"/>
      <c r="U7" s="2"/>
      <c r="V7" s="2"/>
      <c r="W7" s="2"/>
      <c r="X7" s="2"/>
      <c r="Y7" s="2"/>
      <c r="Z7" s="2"/>
      <c r="AA7" s="2"/>
      <c r="AB7" s="2"/>
    </row>
    <row r="8" spans="1:28" ht="14.25" customHeight="1">
      <c r="A8" s="449"/>
      <c r="B8" s="466"/>
      <c r="C8" s="467" t="str">
        <f>Translation!B53</f>
        <v xml:space="preserve"> or Heat capacity of the product</v>
      </c>
      <c r="D8" s="467"/>
      <c r="E8" s="467"/>
      <c r="F8" s="468" t="str">
        <f>Translation!B56</f>
        <v>cp =</v>
      </c>
      <c r="G8" s="469">
        <v>3.7</v>
      </c>
      <c r="H8" s="467" t="str">
        <f>Translation!B59</f>
        <v>kJ/kg K</v>
      </c>
      <c r="I8" s="450"/>
      <c r="J8" s="450"/>
      <c r="K8" s="450"/>
      <c r="L8" s="450"/>
      <c r="M8" s="450"/>
      <c r="N8" s="450"/>
      <c r="O8" s="461"/>
      <c r="P8" s="462"/>
      <c r="Q8" s="455"/>
      <c r="R8" s="2"/>
      <c r="S8" s="2"/>
      <c r="T8" s="2"/>
      <c r="U8" s="2"/>
      <c r="V8" s="2"/>
      <c r="W8" s="2"/>
      <c r="X8" s="2"/>
      <c r="Y8" s="2"/>
      <c r="Z8" s="2"/>
      <c r="AA8" s="2"/>
      <c r="AB8" s="2"/>
    </row>
    <row r="9" spans="1:28" ht="14.25" customHeight="1">
      <c r="A9" s="449"/>
      <c r="B9" s="466"/>
      <c r="C9" s="467" t="str">
        <f>Translation!B60</f>
        <v>Radius</v>
      </c>
      <c r="D9" s="467"/>
      <c r="E9" s="467"/>
      <c r="F9" s="468" t="s">
        <v>5</v>
      </c>
      <c r="G9" s="469">
        <v>3.5000000000000003E-2</v>
      </c>
      <c r="H9" s="467" t="s">
        <v>6</v>
      </c>
      <c r="I9" s="450"/>
      <c r="J9" s="450"/>
      <c r="K9" s="450"/>
      <c r="L9" s="450"/>
      <c r="M9" s="450"/>
      <c r="N9" s="450"/>
      <c r="O9" s="461"/>
      <c r="P9" s="462"/>
      <c r="Q9" s="455"/>
      <c r="R9" s="2"/>
      <c r="S9" s="2"/>
      <c r="T9" s="2"/>
      <c r="U9" s="2"/>
      <c r="V9" s="2"/>
      <c r="W9" s="2"/>
      <c r="X9" s="2"/>
      <c r="Y9" s="2"/>
      <c r="Z9" s="2"/>
      <c r="AA9" s="2"/>
      <c r="AB9" s="2"/>
    </row>
    <row r="10" spans="1:28" ht="14.25" customHeight="1">
      <c r="A10" s="449"/>
      <c r="B10" s="466"/>
      <c r="C10" s="467" t="str">
        <f>Translation!B61</f>
        <v>Density</v>
      </c>
      <c r="D10" s="467"/>
      <c r="E10" s="467"/>
      <c r="F10" s="468" t="s">
        <v>7</v>
      </c>
      <c r="G10" s="469">
        <v>997</v>
      </c>
      <c r="H10" s="467" t="s">
        <v>8</v>
      </c>
      <c r="I10" s="450"/>
      <c r="J10" s="450"/>
      <c r="K10" s="450"/>
      <c r="L10" s="450"/>
      <c r="M10" s="450"/>
      <c r="N10" s="450"/>
      <c r="O10" s="461"/>
      <c r="P10" s="462"/>
      <c r="Q10" s="455"/>
      <c r="R10" s="2"/>
      <c r="S10" s="2"/>
      <c r="T10" s="2"/>
      <c r="U10" s="2"/>
      <c r="V10" s="2"/>
      <c r="W10" s="2"/>
      <c r="X10" s="2"/>
      <c r="Y10" s="2"/>
      <c r="Z10" s="2"/>
      <c r="AA10" s="2"/>
      <c r="AB10" s="2"/>
    </row>
    <row r="11" spans="1:28" ht="14.25" customHeight="1">
      <c r="A11" s="449"/>
      <c r="B11" s="466"/>
      <c r="C11" s="467" t="str">
        <f>Translation!B62</f>
        <v>Convection air - product</v>
      </c>
      <c r="D11" s="467"/>
      <c r="E11" s="467"/>
      <c r="F11" s="468" t="s">
        <v>9</v>
      </c>
      <c r="G11" s="469">
        <v>5</v>
      </c>
      <c r="H11" s="467" t="s">
        <v>10</v>
      </c>
      <c r="I11" s="450"/>
      <c r="J11" s="450"/>
      <c r="K11" s="450"/>
      <c r="L11" s="450"/>
      <c r="M11" s="450"/>
      <c r="N11" s="450"/>
      <c r="O11" s="461"/>
      <c r="P11" s="462"/>
      <c r="Q11" s="455"/>
      <c r="R11" s="2"/>
      <c r="S11" s="2"/>
      <c r="T11" s="2"/>
      <c r="U11" s="2"/>
      <c r="V11" s="2"/>
      <c r="W11" s="2"/>
      <c r="X11" s="2"/>
      <c r="Y11" s="2"/>
      <c r="Z11" s="2"/>
      <c r="AA11" s="2"/>
      <c r="AB11" s="2"/>
    </row>
    <row r="12" spans="1:28" ht="24" customHeight="1">
      <c r="A12" s="449"/>
      <c r="B12" s="460"/>
      <c r="C12" s="450"/>
      <c r="D12" s="450"/>
      <c r="E12" s="450"/>
      <c r="F12" s="465"/>
      <c r="G12" s="470"/>
      <c r="H12" s="450"/>
      <c r="I12" s="450"/>
      <c r="J12" s="450"/>
      <c r="K12" s="450"/>
      <c r="L12" s="450"/>
      <c r="M12" s="450"/>
      <c r="N12" s="450"/>
      <c r="O12" s="461"/>
      <c r="P12" s="462"/>
      <c r="Q12" s="455"/>
      <c r="R12" s="2"/>
      <c r="S12" s="2"/>
      <c r="T12" s="2"/>
      <c r="U12" s="2"/>
      <c r="V12" s="2"/>
      <c r="W12" s="2"/>
      <c r="X12" s="2"/>
      <c r="Y12" s="2"/>
      <c r="Z12" s="2"/>
      <c r="AA12" s="2"/>
      <c r="AB12" s="2"/>
    </row>
    <row r="13" spans="1:28" ht="14.25" customHeight="1">
      <c r="A13" s="449"/>
      <c r="B13" s="460"/>
      <c r="C13" s="450"/>
      <c r="D13" s="450"/>
      <c r="E13" s="450"/>
      <c r="F13" s="465"/>
      <c r="G13" s="470"/>
      <c r="H13" s="450"/>
      <c r="I13" s="450"/>
      <c r="J13" s="450"/>
      <c r="K13" s="450"/>
      <c r="L13" s="450"/>
      <c r="M13" s="450"/>
      <c r="N13" s="450"/>
      <c r="O13" s="461"/>
      <c r="P13" s="462"/>
      <c r="Q13" s="455"/>
      <c r="R13" s="2"/>
      <c r="S13" s="2"/>
      <c r="T13" s="2"/>
      <c r="U13" s="2"/>
      <c r="V13" s="2"/>
      <c r="W13" s="2"/>
      <c r="X13" s="2"/>
      <c r="Y13" s="2"/>
      <c r="Z13" s="2"/>
      <c r="AA13" s="2"/>
      <c r="AB13" s="2"/>
    </row>
    <row r="14" spans="1:28" ht="14.25" customHeight="1">
      <c r="A14" s="449"/>
      <c r="B14" s="460"/>
      <c r="C14" s="471"/>
      <c r="D14" s="471"/>
      <c r="E14" s="471"/>
      <c r="F14" s="471"/>
      <c r="G14" s="471"/>
      <c r="H14" s="471"/>
      <c r="I14" s="450"/>
      <c r="J14" s="463" t="str">
        <f>Translation!B64</f>
        <v>Temperature information</v>
      </c>
      <c r="K14" s="450"/>
      <c r="L14" s="450"/>
      <c r="M14" s="465"/>
      <c r="N14" s="470"/>
      <c r="O14" s="450"/>
      <c r="P14" s="462"/>
      <c r="Q14" s="455"/>
      <c r="R14" s="2"/>
      <c r="S14" s="2"/>
      <c r="T14" s="2"/>
      <c r="U14" s="2"/>
      <c r="V14" s="2"/>
      <c r="W14" s="2"/>
      <c r="X14" s="2"/>
      <c r="Y14" s="2"/>
      <c r="Z14" s="2"/>
      <c r="AA14" s="2"/>
      <c r="AB14" s="2"/>
    </row>
    <row r="15" spans="1:28" ht="14.25" customHeight="1">
      <c r="A15" s="449"/>
      <c r="B15" s="460"/>
      <c r="C15" s="471"/>
      <c r="D15" s="471"/>
      <c r="E15" s="471"/>
      <c r="F15" s="471"/>
      <c r="G15" s="471"/>
      <c r="H15" s="471"/>
      <c r="I15" s="450"/>
      <c r="J15" s="450"/>
      <c r="K15" s="450"/>
      <c r="L15" s="450"/>
      <c r="M15" s="465"/>
      <c r="N15" s="470"/>
      <c r="O15" s="450"/>
      <c r="P15" s="462"/>
      <c r="Q15" s="455"/>
      <c r="R15" s="2"/>
      <c r="S15" s="2"/>
      <c r="T15" s="2"/>
      <c r="U15" s="2"/>
      <c r="V15" s="2"/>
      <c r="W15" s="2"/>
      <c r="X15" s="2"/>
      <c r="Y15" s="2"/>
      <c r="Z15" s="2"/>
      <c r="AA15" s="2"/>
      <c r="AB15" s="2"/>
    </row>
    <row r="16" spans="1:28" ht="14.25" customHeight="1">
      <c r="A16" s="449"/>
      <c r="B16" s="460"/>
      <c r="C16" s="471"/>
      <c r="D16" s="471"/>
      <c r="E16" s="471"/>
      <c r="F16" s="471"/>
      <c r="G16" s="471"/>
      <c r="H16" s="471"/>
      <c r="I16" s="450"/>
      <c r="J16" s="450" t="str">
        <f>Translation!B65</f>
        <v>Initial temperature of the product</v>
      </c>
      <c r="K16" s="450"/>
      <c r="L16" s="450"/>
      <c r="M16" s="465" t="s">
        <v>11</v>
      </c>
      <c r="N16" s="216">
        <v>25</v>
      </c>
      <c r="O16" s="450" t="s">
        <v>12</v>
      </c>
      <c r="P16" s="462"/>
      <c r="Q16" s="455"/>
      <c r="R16" s="2"/>
      <c r="S16" s="2"/>
      <c r="T16" s="2"/>
      <c r="U16" s="2"/>
      <c r="V16" s="2"/>
      <c r="W16" s="2"/>
      <c r="X16" s="2"/>
      <c r="Y16" s="2"/>
      <c r="Z16" s="2"/>
      <c r="AA16" s="2"/>
      <c r="AB16" s="2"/>
    </row>
    <row r="17" spans="1:28" ht="14.25" customHeight="1">
      <c r="A17" s="449"/>
      <c r="B17" s="460"/>
      <c r="C17" s="471"/>
      <c r="D17" s="471"/>
      <c r="E17" s="471"/>
      <c r="F17" s="471"/>
      <c r="G17" s="471"/>
      <c r="H17" s="471"/>
      <c r="I17" s="450"/>
      <c r="J17" s="450" t="str">
        <f>Translation!B66</f>
        <v>Cold room temperature set-point</v>
      </c>
      <c r="K17" s="450"/>
      <c r="L17" s="450"/>
      <c r="M17" s="465" t="s">
        <v>13</v>
      </c>
      <c r="N17" s="216">
        <v>10</v>
      </c>
      <c r="O17" s="450" t="s">
        <v>12</v>
      </c>
      <c r="P17" s="462"/>
      <c r="Q17" s="455"/>
      <c r="R17" s="2"/>
      <c r="S17" s="2"/>
      <c r="T17" s="2"/>
      <c r="U17" s="2"/>
      <c r="V17" s="2"/>
      <c r="W17" s="2"/>
      <c r="X17" s="2"/>
      <c r="Y17" s="2"/>
      <c r="Z17" s="2"/>
      <c r="AA17" s="2"/>
      <c r="AB17" s="2"/>
    </row>
    <row r="18" spans="1:28" ht="14.25" customHeight="1">
      <c r="A18" s="449"/>
      <c r="B18" s="460"/>
      <c r="C18" s="450"/>
      <c r="D18" s="450"/>
      <c r="E18" s="450"/>
      <c r="F18" s="450"/>
      <c r="G18" s="470"/>
      <c r="H18" s="450"/>
      <c r="I18" s="450"/>
      <c r="J18" s="450"/>
      <c r="K18" s="450"/>
      <c r="L18" s="450"/>
      <c r="M18" s="450"/>
      <c r="N18" s="450"/>
      <c r="O18" s="461"/>
      <c r="P18" s="462"/>
      <c r="Q18" s="455"/>
      <c r="R18" s="2"/>
      <c r="S18" s="2"/>
      <c r="T18" s="2"/>
      <c r="U18" s="2"/>
      <c r="V18" s="2"/>
      <c r="W18" s="2"/>
      <c r="X18" s="2"/>
      <c r="Y18" s="2"/>
      <c r="Z18" s="2"/>
      <c r="AA18" s="2"/>
      <c r="AB18" s="2"/>
    </row>
    <row r="19" spans="1:28" ht="14.25" customHeight="1">
      <c r="A19" s="449"/>
      <c r="B19" s="460"/>
      <c r="C19" s="450"/>
      <c r="D19" s="450"/>
      <c r="E19" s="450"/>
      <c r="F19" s="450"/>
      <c r="G19" s="470"/>
      <c r="H19" s="450"/>
      <c r="I19" s="450"/>
      <c r="J19" s="450"/>
      <c r="K19" s="450"/>
      <c r="L19" s="450"/>
      <c r="M19" s="450"/>
      <c r="N19" s="450"/>
      <c r="O19" s="461"/>
      <c r="P19" s="462"/>
      <c r="Q19" s="455"/>
      <c r="R19" s="2"/>
      <c r="S19" s="2"/>
      <c r="T19" s="2"/>
      <c r="U19" s="2"/>
      <c r="V19" s="2"/>
      <c r="W19" s="2"/>
      <c r="X19" s="2"/>
      <c r="Y19" s="2"/>
      <c r="Z19" s="2"/>
      <c r="AA19" s="2"/>
      <c r="AB19" s="2"/>
    </row>
    <row r="20" spans="1:28" ht="14.25" hidden="1" customHeight="1">
      <c r="A20" s="449"/>
      <c r="B20" s="460"/>
      <c r="C20" s="450" t="str">
        <f>Translation!B71</f>
        <v>Batteries</v>
      </c>
      <c r="D20" s="450"/>
      <c r="E20" s="450"/>
      <c r="F20" s="465"/>
      <c r="G20" s="472" t="s">
        <v>14</v>
      </c>
      <c r="H20" s="450"/>
      <c r="I20" s="450"/>
      <c r="J20" s="450"/>
      <c r="K20" s="450"/>
      <c r="L20" s="450"/>
      <c r="M20" s="450"/>
      <c r="N20" s="450"/>
      <c r="O20" s="461"/>
      <c r="P20" s="462"/>
      <c r="Q20" s="455"/>
      <c r="R20" s="2"/>
      <c r="S20" s="2"/>
      <c r="T20" s="2"/>
      <c r="U20" s="2"/>
      <c r="V20" s="2"/>
      <c r="W20" s="2"/>
      <c r="X20" s="2"/>
      <c r="Y20" s="2"/>
      <c r="Z20" s="2"/>
      <c r="AA20" s="2"/>
      <c r="AB20" s="2"/>
    </row>
    <row r="21" spans="1:28" ht="14.25" hidden="1" customHeight="1">
      <c r="A21" s="449"/>
      <c r="B21" s="460"/>
      <c r="C21" s="450" t="str">
        <f>Translation!B72</f>
        <v>Autonomy of the system</v>
      </c>
      <c r="D21" s="450"/>
      <c r="E21" s="450"/>
      <c r="F21" s="465"/>
      <c r="G21" s="472">
        <v>2</v>
      </c>
      <c r="H21" s="450" t="str">
        <f>IF(L20="YES","days","")</f>
        <v/>
      </c>
      <c r="I21" s="450"/>
      <c r="J21" s="450"/>
      <c r="K21" s="450"/>
      <c r="L21" s="450"/>
      <c r="M21" s="450"/>
      <c r="N21" s="450"/>
      <c r="O21" s="461"/>
      <c r="P21" s="462"/>
      <c r="Q21" s="455"/>
      <c r="R21" s="2"/>
      <c r="S21" s="2"/>
      <c r="T21" s="2"/>
      <c r="U21" s="2"/>
      <c r="V21" s="2"/>
      <c r="W21" s="2"/>
      <c r="X21" s="2"/>
      <c r="Y21" s="2"/>
      <c r="Z21" s="2"/>
      <c r="AA21" s="2"/>
      <c r="AB21" s="2"/>
    </row>
    <row r="22" spans="1:28" ht="14.25" customHeight="1">
      <c r="A22" s="473"/>
      <c r="B22" s="460"/>
      <c r="C22" s="450"/>
      <c r="D22" s="450"/>
      <c r="E22" s="450"/>
      <c r="F22" s="465"/>
      <c r="G22" s="470"/>
      <c r="H22" s="450"/>
      <c r="I22" s="450"/>
      <c r="J22" s="450"/>
      <c r="K22" s="450"/>
      <c r="L22" s="450"/>
      <c r="M22" s="450"/>
      <c r="N22" s="450"/>
      <c r="O22" s="461"/>
      <c r="P22" s="462"/>
      <c r="Q22" s="461"/>
      <c r="R22" s="75"/>
      <c r="S22" s="75"/>
      <c r="T22" s="75"/>
      <c r="U22" s="75"/>
      <c r="V22" s="75"/>
      <c r="W22" s="75"/>
      <c r="X22" s="75"/>
      <c r="Y22" s="75"/>
      <c r="Z22" s="75"/>
      <c r="AA22" s="75"/>
      <c r="AB22" s="75"/>
    </row>
    <row r="23" spans="1:28" ht="14.25" customHeight="1">
      <c r="A23" s="449"/>
      <c r="B23" s="460"/>
      <c r="C23" s="471"/>
      <c r="D23" s="450"/>
      <c r="E23" s="450"/>
      <c r="F23" s="465"/>
      <c r="G23" s="465"/>
      <c r="H23" s="450"/>
      <c r="I23" s="450"/>
      <c r="J23" s="463" t="s">
        <v>393</v>
      </c>
      <c r="K23" s="450"/>
      <c r="L23" s="450"/>
      <c r="M23" s="450"/>
      <c r="N23" s="450"/>
      <c r="O23" s="461"/>
      <c r="P23" s="462"/>
      <c r="Q23" s="455"/>
      <c r="R23" s="2"/>
      <c r="S23" s="2"/>
      <c r="T23" s="2"/>
      <c r="U23" s="2"/>
      <c r="V23" s="2"/>
      <c r="W23" s="2"/>
      <c r="X23" s="2"/>
      <c r="Y23" s="2"/>
      <c r="Z23" s="2"/>
      <c r="AA23" s="2"/>
      <c r="AB23" s="2"/>
    </row>
    <row r="24" spans="1:28" ht="14.25" customHeight="1">
      <c r="A24" s="473"/>
      <c r="B24" s="460"/>
      <c r="C24" s="463" t="str">
        <f>Translation!B88</f>
        <v>Cold Room</v>
      </c>
      <c r="D24" s="450"/>
      <c r="E24" s="450"/>
      <c r="F24" s="465"/>
      <c r="G24" s="474"/>
      <c r="H24" s="450"/>
      <c r="I24" s="450"/>
      <c r="J24" s="450"/>
      <c r="K24" s="450"/>
      <c r="L24" s="450"/>
      <c r="M24" s="450"/>
      <c r="N24" s="450"/>
      <c r="O24" s="461"/>
      <c r="P24" s="462"/>
      <c r="Q24" s="461"/>
      <c r="R24" s="75"/>
      <c r="S24" s="75"/>
      <c r="T24" s="75"/>
      <c r="U24" s="75"/>
      <c r="V24" s="75"/>
      <c r="W24" s="75"/>
      <c r="X24" s="75"/>
      <c r="Y24" s="75"/>
      <c r="Z24" s="75"/>
      <c r="AA24" s="75"/>
      <c r="AB24" s="75"/>
    </row>
    <row r="25" spans="1:28" ht="14.25" customHeight="1">
      <c r="A25" s="449"/>
      <c r="B25" s="460"/>
      <c r="C25" s="450"/>
      <c r="D25" s="450"/>
      <c r="E25" s="450"/>
      <c r="F25" s="465"/>
      <c r="G25" s="475">
        <f>G26*G27*G28</f>
        <v>21.545999999999999</v>
      </c>
      <c r="H25" s="463" t="s">
        <v>832</v>
      </c>
      <c r="I25" s="450"/>
      <c r="J25" s="450" t="s">
        <v>840</v>
      </c>
      <c r="K25" s="450"/>
      <c r="L25" s="471"/>
      <c r="M25" s="450"/>
      <c r="N25" s="216">
        <v>75</v>
      </c>
      <c r="O25" s="450" t="s">
        <v>382</v>
      </c>
      <c r="P25" s="462"/>
      <c r="Q25" s="455"/>
      <c r="R25" s="2"/>
      <c r="S25" s="2"/>
      <c r="T25" s="2"/>
      <c r="U25" s="2"/>
      <c r="V25" s="2"/>
      <c r="W25" s="2"/>
      <c r="X25" s="2"/>
      <c r="Y25" s="2"/>
      <c r="Z25" s="2"/>
      <c r="AA25" s="2"/>
      <c r="AB25" s="2"/>
    </row>
    <row r="26" spans="1:28" ht="14.25" customHeight="1">
      <c r="A26" s="473"/>
      <c r="B26" s="460"/>
      <c r="C26" s="450" t="str">
        <f>Translation!B89</f>
        <v>Inner length of the cold room</v>
      </c>
      <c r="D26" s="450"/>
      <c r="E26" s="450"/>
      <c r="F26" s="465" t="s">
        <v>16</v>
      </c>
      <c r="G26" s="216">
        <v>2.7</v>
      </c>
      <c r="H26" s="450" t="s">
        <v>6</v>
      </c>
      <c r="I26" s="450"/>
      <c r="J26" s="450"/>
      <c r="K26" s="450"/>
      <c r="L26" s="450"/>
      <c r="M26" s="450"/>
      <c r="N26" s="450"/>
      <c r="O26" s="476"/>
      <c r="P26" s="462"/>
      <c r="Q26" s="461"/>
      <c r="R26" s="75"/>
      <c r="S26" s="75"/>
      <c r="T26" s="75"/>
      <c r="U26" s="75"/>
      <c r="V26" s="75"/>
      <c r="W26" s="75"/>
      <c r="X26" s="75"/>
      <c r="Y26" s="75"/>
      <c r="Z26" s="75"/>
      <c r="AA26" s="75"/>
      <c r="AB26" s="75"/>
    </row>
    <row r="27" spans="1:28" ht="14.25" customHeight="1">
      <c r="A27" s="473"/>
      <c r="B27" s="460"/>
      <c r="C27" s="450" t="str">
        <f>Translation!B90</f>
        <v>Inner width of the cold room</v>
      </c>
      <c r="D27" s="450"/>
      <c r="E27" s="450"/>
      <c r="F27" s="465" t="s">
        <v>17</v>
      </c>
      <c r="G27" s="216">
        <v>3.8</v>
      </c>
      <c r="H27" s="450" t="s">
        <v>6</v>
      </c>
      <c r="I27" s="450"/>
      <c r="J27" s="450"/>
      <c r="K27" s="450"/>
      <c r="L27" s="450"/>
      <c r="M27" s="450"/>
      <c r="N27" s="450"/>
      <c r="O27" s="461"/>
      <c r="P27" s="462"/>
      <c r="Q27" s="461"/>
      <c r="R27" s="75"/>
      <c r="S27" s="75"/>
      <c r="T27" s="75"/>
      <c r="U27" s="75"/>
      <c r="V27" s="75"/>
      <c r="W27" s="75"/>
      <c r="X27" s="75"/>
      <c r="Y27" s="75"/>
      <c r="Z27" s="75"/>
      <c r="AA27" s="75"/>
      <c r="AB27" s="75"/>
    </row>
    <row r="28" spans="1:28" ht="14.25" customHeight="1">
      <c r="A28" s="449"/>
      <c r="B28" s="460"/>
      <c r="C28" s="450" t="str">
        <f>Translation!B91</f>
        <v>Inner height of the cold room</v>
      </c>
      <c r="D28" s="450"/>
      <c r="E28" s="450"/>
      <c r="F28" s="465" t="s">
        <v>18</v>
      </c>
      <c r="G28" s="216">
        <v>2.1</v>
      </c>
      <c r="H28" s="450" t="s">
        <v>6</v>
      </c>
      <c r="I28" s="450"/>
      <c r="J28" s="450"/>
      <c r="K28" s="450"/>
      <c r="L28" s="450"/>
      <c r="M28" s="450"/>
      <c r="N28" s="450"/>
      <c r="O28" s="461"/>
      <c r="P28" s="462"/>
      <c r="Q28" s="455"/>
      <c r="R28" s="2"/>
      <c r="S28" s="2"/>
      <c r="T28" s="2"/>
      <c r="U28" s="2"/>
      <c r="V28" s="2"/>
      <c r="W28" s="2"/>
      <c r="X28" s="2"/>
      <c r="Y28" s="2"/>
      <c r="Z28" s="2"/>
      <c r="AA28" s="2"/>
      <c r="AB28" s="2"/>
    </row>
    <row r="29" spans="1:28" ht="14.25" customHeight="1">
      <c r="A29" s="449"/>
      <c r="B29" s="460"/>
      <c r="C29" s="467" t="str">
        <f>Translation!B93</f>
        <v>Thermal conductivity of insulation</v>
      </c>
      <c r="D29" s="467"/>
      <c r="E29" s="467"/>
      <c r="F29" s="468" t="s">
        <v>837</v>
      </c>
      <c r="G29" s="469">
        <f>IF(G32="Straw", 0.06, 0.03)</f>
        <v>0.06</v>
      </c>
      <c r="H29" s="467" t="s">
        <v>19</v>
      </c>
      <c r="I29" s="450"/>
      <c r="J29" s="450"/>
      <c r="K29" s="450"/>
      <c r="L29" s="450"/>
      <c r="M29" s="450"/>
      <c r="N29" s="450"/>
      <c r="O29" s="461"/>
      <c r="P29" s="462"/>
      <c r="Q29" s="455"/>
      <c r="R29" s="2"/>
      <c r="S29" s="2"/>
      <c r="T29" s="2"/>
      <c r="U29" s="2"/>
      <c r="V29" s="2"/>
      <c r="W29" s="2"/>
      <c r="X29" s="2"/>
      <c r="Y29" s="2"/>
      <c r="Z29" s="2"/>
      <c r="AA29" s="2"/>
      <c r="AB29" s="2"/>
    </row>
    <row r="30" spans="1:28" ht="14.25" customHeight="1">
      <c r="A30" s="449"/>
      <c r="B30" s="460"/>
      <c r="C30" s="450" t="str">
        <f>Translation!B94</f>
        <v>Thickness of insulation</v>
      </c>
      <c r="D30" s="450"/>
      <c r="E30" s="450"/>
      <c r="F30" s="477" t="s">
        <v>20</v>
      </c>
      <c r="G30" s="321">
        <v>0.3</v>
      </c>
      <c r="H30" s="450" t="s">
        <v>6</v>
      </c>
      <c r="I30" s="478"/>
      <c r="J30" s="450"/>
      <c r="K30" s="450"/>
      <c r="L30" s="450"/>
      <c r="M30" s="450"/>
      <c r="N30" s="450"/>
      <c r="O30" s="461"/>
      <c r="P30" s="462"/>
      <c r="Q30" s="455"/>
      <c r="R30" s="2"/>
      <c r="S30" s="2"/>
      <c r="T30" s="2"/>
      <c r="U30" s="2"/>
      <c r="V30" s="2"/>
      <c r="W30" s="2"/>
      <c r="X30" s="2"/>
      <c r="Y30" s="2"/>
      <c r="Z30" s="2"/>
      <c r="AA30" s="2"/>
      <c r="AB30" s="2"/>
    </row>
    <row r="31" spans="1:28" ht="14.25" customHeight="1">
      <c r="A31" s="449"/>
      <c r="B31" s="460"/>
      <c r="C31" s="450" t="str">
        <f>Translation!B95</f>
        <v>Ice storage inside the cold room?</v>
      </c>
      <c r="D31" s="450"/>
      <c r="E31" s="450"/>
      <c r="F31" s="450"/>
      <c r="G31" s="216" t="s">
        <v>14</v>
      </c>
      <c r="H31" s="450"/>
      <c r="I31" s="450"/>
      <c r="J31" s="450"/>
      <c r="K31" s="450"/>
      <c r="L31" s="450"/>
      <c r="M31" s="450"/>
      <c r="N31" s="450"/>
      <c r="O31" s="461"/>
      <c r="P31" s="462"/>
      <c r="Q31" s="455"/>
      <c r="R31" s="2"/>
      <c r="S31" s="2"/>
      <c r="T31" s="2"/>
      <c r="U31" s="2"/>
      <c r="V31" s="2"/>
      <c r="W31" s="2"/>
      <c r="X31" s="2"/>
      <c r="Y31" s="2"/>
      <c r="Z31" s="2"/>
      <c r="AA31" s="2"/>
      <c r="AB31" s="2"/>
    </row>
    <row r="32" spans="1:28" ht="14.25" customHeight="1">
      <c r="A32" s="449"/>
      <c r="B32" s="460"/>
      <c r="C32" s="479" t="s">
        <v>788</v>
      </c>
      <c r="D32" s="479"/>
      <c r="E32" s="479"/>
      <c r="F32" s="479"/>
      <c r="G32" s="441" t="s">
        <v>434</v>
      </c>
      <c r="H32" s="450"/>
      <c r="I32" s="450"/>
      <c r="J32" s="450"/>
      <c r="K32" s="450"/>
      <c r="L32" s="450"/>
      <c r="M32" s="450"/>
      <c r="N32" s="450"/>
      <c r="O32" s="461"/>
      <c r="P32" s="462"/>
      <c r="Q32" s="455"/>
      <c r="R32" s="2"/>
      <c r="S32" s="2"/>
      <c r="T32" s="2"/>
      <c r="U32" s="2"/>
      <c r="V32" s="2"/>
      <c r="W32" s="2"/>
      <c r="X32" s="2"/>
      <c r="Y32" s="2"/>
      <c r="Z32" s="2"/>
      <c r="AA32" s="2"/>
      <c r="AB32" s="2"/>
    </row>
    <row r="33" spans="1:28" ht="14.25" customHeight="1">
      <c r="A33" s="449"/>
      <c r="B33" s="460"/>
      <c r="C33" s="471"/>
      <c r="D33" s="471"/>
      <c r="E33" s="471"/>
      <c r="F33" s="471"/>
      <c r="G33" s="471"/>
      <c r="H33" s="480"/>
      <c r="I33" s="450"/>
      <c r="J33" s="450"/>
      <c r="K33" s="450"/>
      <c r="L33" s="450"/>
      <c r="M33" s="450"/>
      <c r="N33" s="450"/>
      <c r="O33" s="461"/>
      <c r="P33" s="481"/>
      <c r="Q33" s="455"/>
      <c r="R33" s="2"/>
      <c r="S33" s="2"/>
      <c r="T33" s="2"/>
      <c r="U33" s="2"/>
      <c r="V33" s="2"/>
      <c r="W33" s="2"/>
      <c r="X33" s="2"/>
      <c r="Y33" s="2"/>
      <c r="Z33" s="2"/>
      <c r="AA33" s="2"/>
      <c r="AB33" s="2"/>
    </row>
    <row r="34" spans="1:28" ht="14.25" customHeight="1">
      <c r="A34" s="449"/>
      <c r="B34" s="460"/>
      <c r="C34" s="471"/>
      <c r="D34" s="471"/>
      <c r="E34" s="471"/>
      <c r="F34" s="471"/>
      <c r="G34" s="471"/>
      <c r="H34" s="471"/>
      <c r="I34" s="450"/>
      <c r="J34" s="450"/>
      <c r="K34" s="450"/>
      <c r="L34" s="450"/>
      <c r="M34" s="450"/>
      <c r="N34" s="450"/>
      <c r="O34" s="461"/>
      <c r="P34" s="462"/>
      <c r="Q34" s="455"/>
      <c r="R34" s="2"/>
      <c r="S34" s="2"/>
      <c r="T34" s="2"/>
      <c r="U34" s="2"/>
      <c r="V34" s="2"/>
      <c r="W34" s="2"/>
      <c r="X34" s="2"/>
      <c r="Y34" s="2"/>
      <c r="Z34" s="2"/>
      <c r="AA34" s="2"/>
      <c r="AB34" s="2"/>
    </row>
    <row r="35" spans="1:28" ht="14.25" customHeight="1">
      <c r="A35" s="449"/>
      <c r="B35" s="460"/>
      <c r="C35" s="471"/>
      <c r="D35" s="471"/>
      <c r="E35" s="471"/>
      <c r="F35" s="471"/>
      <c r="G35" s="471"/>
      <c r="H35" s="471"/>
      <c r="I35" s="450"/>
      <c r="J35" s="450"/>
      <c r="K35" s="450"/>
      <c r="L35" s="450"/>
      <c r="M35" s="450"/>
      <c r="N35" s="450"/>
      <c r="O35" s="461"/>
      <c r="P35" s="462"/>
      <c r="Q35" s="455"/>
      <c r="R35" s="2"/>
      <c r="S35" s="2"/>
      <c r="T35" s="2"/>
      <c r="U35" s="2"/>
      <c r="V35" s="2"/>
      <c r="W35" s="2"/>
      <c r="X35" s="2"/>
      <c r="Y35" s="2"/>
      <c r="Z35" s="2"/>
      <c r="AA35" s="2"/>
      <c r="AB35" s="2"/>
    </row>
    <row r="36" spans="1:28" ht="14.25" customHeight="1">
      <c r="A36" s="449"/>
      <c r="B36" s="460"/>
      <c r="C36" s="471"/>
      <c r="D36" s="471"/>
      <c r="E36" s="471"/>
      <c r="F36" s="471"/>
      <c r="G36" s="471"/>
      <c r="H36" s="471"/>
      <c r="I36" s="450"/>
      <c r="J36" s="450"/>
      <c r="K36" s="450"/>
      <c r="L36" s="450"/>
      <c r="M36" s="450"/>
      <c r="N36" s="450"/>
      <c r="O36" s="461"/>
      <c r="P36" s="462"/>
      <c r="Q36" s="455"/>
      <c r="R36" s="2"/>
      <c r="S36" s="2"/>
      <c r="T36" s="2"/>
      <c r="U36" s="2"/>
      <c r="V36" s="2"/>
      <c r="W36" s="2"/>
      <c r="X36" s="2"/>
      <c r="Y36" s="2"/>
      <c r="Z36" s="2"/>
      <c r="AA36" s="2"/>
      <c r="AB36" s="2"/>
    </row>
    <row r="37" spans="1:28" ht="14.25" customHeight="1">
      <c r="A37" s="449"/>
      <c r="B37" s="460"/>
      <c r="C37" s="463"/>
      <c r="D37" s="450"/>
      <c r="E37" s="450"/>
      <c r="F37" s="450"/>
      <c r="G37" s="450"/>
      <c r="H37" s="450"/>
      <c r="I37" s="450"/>
      <c r="J37" s="450"/>
      <c r="K37" s="450"/>
      <c r="L37" s="450"/>
      <c r="M37" s="450"/>
      <c r="N37" s="450"/>
      <c r="O37" s="461"/>
      <c r="P37" s="462"/>
      <c r="Q37" s="455"/>
      <c r="R37" s="2"/>
      <c r="S37" s="2"/>
      <c r="T37" s="2"/>
      <c r="U37" s="2"/>
      <c r="V37" s="2"/>
      <c r="W37" s="2"/>
      <c r="X37" s="2"/>
      <c r="Y37" s="2"/>
      <c r="Z37" s="2"/>
      <c r="AA37" s="2"/>
      <c r="AB37" s="2"/>
    </row>
    <row r="38" spans="1:28" ht="14.25" customHeight="1">
      <c r="A38" s="449"/>
      <c r="B38" s="460"/>
      <c r="C38" s="450"/>
      <c r="D38" s="450"/>
      <c r="E38" s="450"/>
      <c r="F38" s="450"/>
      <c r="G38" s="450"/>
      <c r="H38" s="450"/>
      <c r="I38" s="450"/>
      <c r="J38" s="471"/>
      <c r="K38" s="450"/>
      <c r="L38" s="450"/>
      <c r="M38" s="450"/>
      <c r="N38" s="450"/>
      <c r="O38" s="461"/>
      <c r="P38" s="462"/>
      <c r="Q38" s="455"/>
      <c r="R38" s="2"/>
      <c r="S38" s="2"/>
      <c r="T38" s="2"/>
      <c r="U38" s="2"/>
      <c r="V38" s="2"/>
      <c r="W38" s="2"/>
      <c r="X38" s="2"/>
      <c r="Y38" s="2"/>
      <c r="Z38" s="2"/>
      <c r="AA38" s="2"/>
      <c r="AB38" s="2"/>
    </row>
    <row r="39" spans="1:28" ht="14.25" customHeight="1">
      <c r="A39" s="449"/>
      <c r="B39" s="460"/>
      <c r="C39" s="450"/>
      <c r="D39" s="450"/>
      <c r="E39" s="450"/>
      <c r="F39" s="450"/>
      <c r="G39" s="450"/>
      <c r="H39" s="450"/>
      <c r="I39" s="450"/>
      <c r="J39" s="450"/>
      <c r="K39" s="450"/>
      <c r="L39" s="450"/>
      <c r="M39" s="450"/>
      <c r="N39" s="450"/>
      <c r="O39" s="461"/>
      <c r="P39" s="462"/>
      <c r="Q39" s="455"/>
      <c r="R39" s="2"/>
      <c r="S39" s="2"/>
      <c r="T39" s="2"/>
      <c r="U39" s="2"/>
      <c r="V39" s="2"/>
      <c r="W39" s="2"/>
      <c r="X39" s="2"/>
      <c r="Y39" s="2"/>
      <c r="Z39" s="2"/>
      <c r="AA39" s="2"/>
      <c r="AB39" s="2"/>
    </row>
    <row r="40" spans="1:28" ht="14.25" customHeight="1">
      <c r="A40" s="450"/>
      <c r="B40" s="460"/>
      <c r="C40" s="450"/>
      <c r="D40" s="450"/>
      <c r="E40" s="450"/>
      <c r="F40" s="450"/>
      <c r="G40" s="450"/>
      <c r="H40" s="450"/>
      <c r="I40" s="450"/>
      <c r="J40" s="450"/>
      <c r="K40" s="450"/>
      <c r="L40" s="450"/>
      <c r="M40" s="450"/>
      <c r="N40" s="450"/>
      <c r="O40" s="461"/>
      <c r="P40" s="462"/>
      <c r="Q40" s="455"/>
      <c r="R40" s="2"/>
      <c r="S40" s="2"/>
      <c r="T40" s="2"/>
      <c r="U40" s="2"/>
      <c r="V40" s="2"/>
      <c r="W40" s="2"/>
      <c r="X40" s="2"/>
      <c r="Y40" s="2"/>
      <c r="Z40" s="2"/>
      <c r="AA40" s="2"/>
      <c r="AB40" s="2"/>
    </row>
    <row r="41" spans="1:28" ht="14.25" customHeight="1">
      <c r="A41" s="455"/>
      <c r="B41" s="482"/>
      <c r="C41" s="461"/>
      <c r="D41" s="461"/>
      <c r="E41" s="461"/>
      <c r="F41" s="461"/>
      <c r="G41" s="461"/>
      <c r="H41" s="461"/>
      <c r="I41" s="461"/>
      <c r="J41" s="461"/>
      <c r="K41" s="461"/>
      <c r="L41" s="461"/>
      <c r="M41" s="461"/>
      <c r="N41" s="461"/>
      <c r="O41" s="461"/>
      <c r="P41" s="462"/>
      <c r="Q41" s="455"/>
      <c r="R41" s="2"/>
      <c r="S41" s="2"/>
      <c r="T41" s="2"/>
      <c r="U41" s="2"/>
      <c r="V41" s="2"/>
      <c r="W41" s="2"/>
      <c r="X41" s="2"/>
      <c r="Y41" s="2"/>
      <c r="Z41" s="2"/>
      <c r="AA41" s="2"/>
      <c r="AB41" s="2"/>
    </row>
    <row r="42" spans="1:28" ht="14.25" customHeight="1" thickBot="1">
      <c r="A42" s="455"/>
      <c r="B42" s="483"/>
      <c r="C42" s="484"/>
      <c r="D42" s="484"/>
      <c r="E42" s="484"/>
      <c r="F42" s="484"/>
      <c r="G42" s="484"/>
      <c r="H42" s="484"/>
      <c r="I42" s="484"/>
      <c r="J42" s="484"/>
      <c r="K42" s="484"/>
      <c r="L42" s="484"/>
      <c r="M42" s="484"/>
      <c r="N42" s="484"/>
      <c r="O42" s="484"/>
      <c r="P42" s="485"/>
      <c r="Q42" s="455"/>
      <c r="R42" s="2"/>
      <c r="S42" s="2"/>
      <c r="T42" s="2"/>
      <c r="U42" s="2"/>
      <c r="V42" s="2"/>
      <c r="W42" s="2"/>
      <c r="X42" s="2"/>
      <c r="Y42" s="2"/>
      <c r="Z42" s="2"/>
      <c r="AA42" s="2"/>
      <c r="AB42" s="2"/>
    </row>
    <row r="43" spans="1:28" ht="14.25" customHeight="1">
      <c r="A43" s="455"/>
      <c r="B43" s="461"/>
      <c r="C43" s="455"/>
      <c r="D43" s="455"/>
      <c r="E43" s="455"/>
      <c r="F43" s="455"/>
      <c r="G43" s="455"/>
      <c r="H43" s="455"/>
      <c r="I43" s="455"/>
      <c r="J43" s="455"/>
      <c r="K43" s="455"/>
      <c r="L43" s="455"/>
      <c r="M43" s="455"/>
      <c r="N43" s="455"/>
      <c r="O43" s="455"/>
      <c r="P43" s="455"/>
      <c r="Q43" s="455"/>
      <c r="R43" s="2"/>
      <c r="S43" s="2"/>
      <c r="T43" s="2"/>
      <c r="U43" s="2"/>
      <c r="V43" s="2"/>
      <c r="W43" s="2"/>
      <c r="X43" s="2"/>
      <c r="Y43" s="2"/>
      <c r="Z43" s="2"/>
      <c r="AA43" s="2"/>
      <c r="AB43" s="2"/>
    </row>
    <row r="44" spans="1:28" ht="14.25" customHeight="1">
      <c r="A44" s="2"/>
      <c r="B44" s="75"/>
      <c r="C44" s="2"/>
      <c r="D44" s="2"/>
      <c r="E44" s="2"/>
      <c r="F44" s="2"/>
      <c r="G44" s="2"/>
      <c r="H44" s="2"/>
      <c r="I44" s="2"/>
      <c r="J44" s="2"/>
      <c r="K44" s="2"/>
      <c r="L44" s="2"/>
      <c r="M44" s="2"/>
      <c r="N44" s="2"/>
      <c r="O44" s="2"/>
      <c r="P44" s="2"/>
      <c r="Q44" s="2"/>
      <c r="R44" s="2"/>
      <c r="S44" s="2"/>
      <c r="T44" s="2"/>
      <c r="U44" s="2"/>
      <c r="V44" s="2"/>
      <c r="W44" s="2"/>
      <c r="X44" s="2"/>
      <c r="Y44" s="2"/>
      <c r="Z44" s="2"/>
      <c r="AA44" s="2"/>
      <c r="AB44" s="2"/>
    </row>
    <row r="45" spans="1:28" ht="14.25" customHeight="1">
      <c r="A45" s="2"/>
      <c r="B45" s="75"/>
      <c r="C45" s="2"/>
      <c r="D45" s="2"/>
      <c r="E45" s="2"/>
      <c r="F45" s="2"/>
      <c r="G45" s="2"/>
      <c r="H45" s="2"/>
      <c r="I45" s="2"/>
      <c r="J45" s="2"/>
      <c r="K45" s="2"/>
      <c r="L45" s="2"/>
      <c r="M45" s="2"/>
      <c r="N45" s="2"/>
      <c r="O45" s="2"/>
      <c r="P45" s="2"/>
      <c r="Q45" s="2"/>
      <c r="R45" s="2"/>
      <c r="S45" s="2"/>
      <c r="T45" s="2"/>
      <c r="U45" s="2"/>
      <c r="V45" s="2"/>
      <c r="W45" s="2"/>
      <c r="X45" s="2"/>
      <c r="Y45" s="2"/>
      <c r="Z45" s="2"/>
      <c r="AA45" s="2"/>
      <c r="AB45" s="2"/>
    </row>
    <row r="46" spans="1:28" ht="14.25" customHeight="1">
      <c r="A46" s="2"/>
      <c r="B46" s="75"/>
      <c r="C46" s="2"/>
      <c r="D46" s="2"/>
      <c r="E46" s="2"/>
      <c r="F46" s="2"/>
      <c r="G46" s="2"/>
      <c r="H46" s="2"/>
      <c r="I46" s="2"/>
      <c r="J46" s="2"/>
      <c r="K46" s="2"/>
      <c r="L46" s="2"/>
      <c r="M46" s="2"/>
      <c r="N46" s="2"/>
      <c r="O46" s="2"/>
      <c r="P46" s="2"/>
      <c r="Q46" s="2"/>
      <c r="R46" s="2"/>
      <c r="S46" s="2"/>
      <c r="T46" s="2"/>
      <c r="U46" s="2"/>
      <c r="V46" s="2"/>
      <c r="W46" s="2"/>
      <c r="X46" s="2"/>
      <c r="Y46" s="2"/>
      <c r="Z46" s="2"/>
      <c r="AA46" s="2"/>
      <c r="AB46" s="2"/>
    </row>
    <row r="47" spans="1:28" ht="14.25" customHeight="1">
      <c r="A47" s="2"/>
      <c r="B47" s="75"/>
      <c r="C47" s="2"/>
      <c r="D47" s="2"/>
      <c r="E47" s="2"/>
      <c r="F47" s="2"/>
      <c r="G47" s="2"/>
      <c r="H47" s="2"/>
      <c r="I47" s="2"/>
      <c r="J47" s="2"/>
      <c r="K47" s="2"/>
      <c r="L47" s="2"/>
      <c r="M47" s="2"/>
      <c r="N47" s="2"/>
      <c r="O47" s="2"/>
      <c r="P47" s="2"/>
      <c r="Q47" s="2"/>
      <c r="R47" s="2"/>
      <c r="S47" s="2"/>
      <c r="T47" s="2"/>
      <c r="U47" s="2"/>
      <c r="V47" s="2"/>
      <c r="W47" s="2"/>
      <c r="X47" s="2"/>
      <c r="Y47" s="2"/>
      <c r="Z47" s="2"/>
      <c r="AA47" s="2"/>
      <c r="AB47" s="2"/>
    </row>
    <row r="48" spans="1:28" ht="14.25" customHeight="1">
      <c r="A48" s="2"/>
      <c r="B48" s="75"/>
      <c r="C48" s="2"/>
      <c r="D48" s="2"/>
      <c r="E48" s="2"/>
      <c r="F48" s="2"/>
      <c r="G48" s="2"/>
      <c r="H48" s="2"/>
      <c r="I48" s="2"/>
      <c r="J48" s="2"/>
      <c r="K48" s="2"/>
      <c r="L48" s="2"/>
      <c r="M48" s="2"/>
      <c r="N48" s="2"/>
      <c r="O48" s="2"/>
      <c r="P48" s="2"/>
      <c r="Q48" s="2"/>
      <c r="R48" s="2"/>
      <c r="S48" s="2"/>
      <c r="T48" s="2"/>
      <c r="U48" s="2"/>
      <c r="V48" s="2"/>
      <c r="W48" s="2"/>
      <c r="X48" s="2"/>
      <c r="Y48" s="2"/>
      <c r="Z48" s="2"/>
      <c r="AA48" s="2"/>
      <c r="AB48" s="2"/>
    </row>
    <row r="49" spans="1:28" ht="14.25" customHeight="1">
      <c r="A49" s="2"/>
      <c r="B49" s="75"/>
      <c r="C49" s="2"/>
      <c r="D49" s="2"/>
      <c r="E49" s="2"/>
      <c r="F49" s="2"/>
      <c r="G49" s="2"/>
      <c r="H49" s="2"/>
      <c r="I49" s="2"/>
      <c r="J49" s="2"/>
      <c r="K49" s="2"/>
      <c r="L49" s="2"/>
      <c r="M49" s="2"/>
      <c r="N49" s="2"/>
      <c r="O49" s="2"/>
      <c r="P49" s="2"/>
      <c r="Q49" s="2"/>
      <c r="R49" s="2"/>
      <c r="S49" s="2"/>
      <c r="T49" s="2"/>
      <c r="U49" s="2"/>
      <c r="V49" s="2"/>
      <c r="W49" s="2"/>
      <c r="X49" s="2"/>
      <c r="Y49" s="2"/>
      <c r="Z49" s="2"/>
      <c r="AA49" s="2"/>
      <c r="AB49" s="2"/>
    </row>
    <row r="50" spans="1:28" ht="14.25" customHeight="1">
      <c r="A50" s="2"/>
      <c r="B50" s="75"/>
      <c r="C50" s="2"/>
      <c r="D50" s="2"/>
      <c r="E50" s="2"/>
      <c r="F50" s="2"/>
      <c r="G50" s="2"/>
      <c r="H50" s="2"/>
      <c r="I50" s="2"/>
      <c r="J50" s="2"/>
      <c r="K50" s="2"/>
      <c r="L50" s="2"/>
      <c r="M50" s="2"/>
      <c r="N50" s="2"/>
      <c r="O50" s="2"/>
      <c r="P50" s="2"/>
      <c r="Q50" s="2"/>
      <c r="R50" s="2"/>
      <c r="S50" s="2"/>
      <c r="T50" s="2"/>
      <c r="U50" s="2"/>
      <c r="V50" s="2"/>
      <c r="W50" s="2"/>
      <c r="X50" s="2"/>
      <c r="Y50" s="2"/>
      <c r="Z50" s="2"/>
      <c r="AA50" s="2"/>
      <c r="AB50" s="2"/>
    </row>
    <row r="51" spans="1:28" ht="14.25" customHeight="1">
      <c r="A51" s="2"/>
      <c r="B51" s="75"/>
      <c r="C51" s="2"/>
      <c r="D51" s="2"/>
      <c r="E51" s="2"/>
      <c r="F51" s="2"/>
      <c r="G51" s="2"/>
      <c r="H51" s="2"/>
      <c r="I51" s="2"/>
      <c r="J51" s="2"/>
      <c r="K51" s="2"/>
      <c r="L51" s="2"/>
      <c r="M51" s="2"/>
      <c r="N51" s="2"/>
      <c r="O51" s="2"/>
      <c r="P51" s="2"/>
      <c r="Q51" s="2"/>
      <c r="R51" s="2"/>
      <c r="S51" s="2"/>
      <c r="T51" s="2"/>
      <c r="U51" s="2"/>
      <c r="V51" s="2"/>
      <c r="W51" s="2"/>
      <c r="X51" s="2"/>
      <c r="Y51" s="2"/>
      <c r="Z51" s="2"/>
      <c r="AA51" s="2"/>
      <c r="AB51" s="2"/>
    </row>
    <row r="52" spans="1:28" ht="14.25" customHeight="1">
      <c r="A52" s="2"/>
      <c r="B52" s="75"/>
      <c r="C52" s="2"/>
      <c r="D52" s="2"/>
      <c r="E52" s="2"/>
      <c r="F52" s="2"/>
      <c r="G52" s="2"/>
      <c r="H52" s="2"/>
      <c r="I52" s="2"/>
      <c r="J52" s="2"/>
      <c r="K52" s="2"/>
      <c r="L52" s="2"/>
      <c r="M52" s="2"/>
      <c r="N52" s="2"/>
      <c r="O52" s="2"/>
      <c r="P52" s="2"/>
      <c r="Q52" s="2"/>
      <c r="R52" s="2"/>
      <c r="S52" s="2"/>
      <c r="T52" s="2"/>
      <c r="U52" s="2"/>
      <c r="V52" s="2"/>
      <c r="W52" s="2"/>
      <c r="X52" s="2"/>
      <c r="Y52" s="2"/>
      <c r="Z52" s="2"/>
      <c r="AA52" s="2"/>
      <c r="AB52" s="2"/>
    </row>
    <row r="53" spans="1:28" ht="14.25" customHeight="1">
      <c r="A53" s="2"/>
      <c r="B53" s="75"/>
      <c r="C53" s="2"/>
      <c r="D53" s="2"/>
      <c r="E53" s="2"/>
      <c r="F53" s="2"/>
      <c r="G53" s="2"/>
      <c r="H53" s="2"/>
      <c r="I53" s="2"/>
      <c r="J53" s="2"/>
      <c r="K53" s="2"/>
      <c r="L53" s="2"/>
      <c r="M53" s="2"/>
      <c r="N53" s="2"/>
      <c r="O53" s="2"/>
      <c r="P53" s="2"/>
      <c r="Q53" s="2"/>
      <c r="R53" s="2"/>
      <c r="S53" s="2"/>
      <c r="T53" s="2"/>
      <c r="U53" s="2"/>
      <c r="V53" s="2"/>
      <c r="W53" s="2"/>
      <c r="X53" s="2"/>
      <c r="Y53" s="2"/>
      <c r="Z53" s="2"/>
      <c r="AA53" s="2"/>
      <c r="AB53" s="2"/>
    </row>
    <row r="54" spans="1:28" ht="14.25" customHeight="1">
      <c r="A54" s="2"/>
      <c r="B54" s="75"/>
      <c r="C54" s="2"/>
      <c r="D54" s="2"/>
      <c r="E54" s="2"/>
      <c r="F54" s="2"/>
      <c r="G54" s="2"/>
      <c r="H54" s="2"/>
      <c r="I54" s="2"/>
      <c r="J54" s="2"/>
      <c r="K54" s="2"/>
      <c r="L54" s="2"/>
      <c r="M54" s="2"/>
      <c r="N54" s="2"/>
      <c r="O54" s="2"/>
      <c r="P54" s="2"/>
      <c r="Q54" s="2"/>
      <c r="R54" s="2"/>
      <c r="S54" s="2"/>
      <c r="T54" s="2"/>
      <c r="U54" s="2"/>
      <c r="V54" s="2"/>
      <c r="W54" s="2"/>
      <c r="X54" s="2"/>
      <c r="Y54" s="2"/>
      <c r="Z54" s="2"/>
      <c r="AA54" s="2"/>
      <c r="AB54" s="2"/>
    </row>
    <row r="55" spans="1:28" ht="14.25" customHeight="1">
      <c r="A55" s="2"/>
      <c r="B55" s="75"/>
      <c r="C55" s="2"/>
      <c r="D55" s="2"/>
      <c r="E55" s="2"/>
      <c r="F55" s="2"/>
      <c r="G55" s="2"/>
      <c r="H55" s="2"/>
      <c r="I55" s="2"/>
      <c r="J55" s="2"/>
      <c r="K55" s="2"/>
      <c r="L55" s="2"/>
      <c r="M55" s="2"/>
      <c r="N55" s="2"/>
      <c r="O55" s="2"/>
      <c r="P55" s="2"/>
      <c r="Q55" s="2"/>
      <c r="R55" s="2"/>
      <c r="S55" s="2"/>
      <c r="T55" s="2"/>
      <c r="U55" s="2"/>
      <c r="V55" s="2"/>
      <c r="W55" s="2"/>
      <c r="X55" s="2"/>
      <c r="Y55" s="2"/>
      <c r="Z55" s="2"/>
      <c r="AA55" s="2"/>
      <c r="AB55" s="2"/>
    </row>
    <row r="56" spans="1:28" ht="14.25" customHeight="1">
      <c r="A56" s="2"/>
      <c r="B56" s="75"/>
      <c r="C56" s="2"/>
      <c r="D56" s="2"/>
      <c r="E56" s="2"/>
      <c r="F56" s="2"/>
      <c r="G56" s="2"/>
      <c r="H56" s="2"/>
      <c r="I56" s="2"/>
      <c r="J56" s="2"/>
      <c r="K56" s="2"/>
      <c r="L56" s="2"/>
      <c r="M56" s="2"/>
      <c r="N56" s="2"/>
      <c r="O56" s="2"/>
      <c r="P56" s="2"/>
      <c r="Q56" s="2"/>
      <c r="R56" s="2"/>
      <c r="S56" s="2"/>
      <c r="T56" s="2"/>
      <c r="U56" s="2"/>
      <c r="V56" s="2"/>
      <c r="W56" s="2"/>
      <c r="X56" s="2"/>
      <c r="Y56" s="2"/>
      <c r="Z56" s="2"/>
      <c r="AA56" s="2"/>
      <c r="AB56" s="2"/>
    </row>
    <row r="57" spans="1:28" ht="14.25" customHeight="1">
      <c r="A57" s="2"/>
      <c r="B57" s="75"/>
      <c r="C57" s="2"/>
      <c r="D57" s="2"/>
      <c r="E57" s="2"/>
      <c r="F57" s="2"/>
      <c r="G57" s="2"/>
      <c r="H57" s="2"/>
      <c r="I57" s="2"/>
      <c r="J57" s="2"/>
      <c r="K57" s="2"/>
      <c r="L57" s="2"/>
      <c r="M57" s="2"/>
      <c r="N57" s="2"/>
      <c r="O57" s="2"/>
      <c r="P57" s="2"/>
      <c r="Q57" s="2"/>
      <c r="R57" s="2"/>
      <c r="S57" s="2"/>
      <c r="T57" s="2"/>
      <c r="U57" s="2"/>
      <c r="V57" s="2"/>
      <c r="W57" s="2"/>
      <c r="X57" s="2"/>
      <c r="Y57" s="2"/>
      <c r="Z57" s="2"/>
      <c r="AA57" s="2"/>
      <c r="AB57" s="2"/>
    </row>
    <row r="58" spans="1:28" ht="14.25" customHeight="1">
      <c r="A58" s="2"/>
      <c r="B58" s="75"/>
      <c r="C58" s="2"/>
      <c r="D58" s="2"/>
      <c r="E58" s="2"/>
      <c r="F58" s="2"/>
      <c r="G58" s="2"/>
      <c r="H58" s="2"/>
      <c r="I58" s="2"/>
      <c r="J58" s="2"/>
      <c r="K58" s="2"/>
      <c r="L58" s="2"/>
      <c r="M58" s="2"/>
      <c r="N58" s="2"/>
      <c r="O58" s="2"/>
      <c r="P58" s="2"/>
      <c r="Q58" s="2"/>
      <c r="R58" s="2"/>
      <c r="S58" s="2"/>
      <c r="T58" s="2"/>
      <c r="U58" s="2"/>
      <c r="V58" s="2"/>
      <c r="W58" s="2"/>
      <c r="X58" s="2"/>
      <c r="Y58" s="2"/>
      <c r="Z58" s="2"/>
      <c r="AA58" s="2"/>
      <c r="AB58" s="2"/>
    </row>
    <row r="59" spans="1:28" ht="14.25" customHeight="1">
      <c r="A59" s="2"/>
      <c r="B59" s="75"/>
      <c r="C59" s="2"/>
      <c r="D59" s="2"/>
      <c r="E59" s="2"/>
      <c r="F59" s="2"/>
      <c r="G59" s="2"/>
      <c r="H59" s="2"/>
      <c r="I59" s="2"/>
      <c r="J59" s="2"/>
      <c r="K59" s="2"/>
      <c r="L59" s="2"/>
      <c r="M59" s="2"/>
      <c r="N59" s="2"/>
      <c r="O59" s="2"/>
      <c r="P59" s="2"/>
      <c r="Q59" s="2"/>
      <c r="R59" s="2"/>
      <c r="S59" s="2"/>
      <c r="T59" s="2"/>
      <c r="U59" s="2"/>
      <c r="V59" s="2"/>
      <c r="W59" s="2"/>
      <c r="X59" s="2"/>
      <c r="Y59" s="2"/>
      <c r="Z59" s="2"/>
      <c r="AA59" s="2"/>
      <c r="AB59" s="2"/>
    </row>
    <row r="60" spans="1:28" ht="14.25" customHeight="1">
      <c r="A60" s="2"/>
      <c r="B60" s="75"/>
      <c r="C60" s="2"/>
      <c r="D60" s="2"/>
      <c r="E60" s="2"/>
      <c r="F60" s="2"/>
      <c r="G60" s="2"/>
      <c r="H60" s="2"/>
      <c r="I60" s="2"/>
      <c r="J60" s="2"/>
      <c r="K60" s="2"/>
      <c r="L60" s="2"/>
      <c r="M60" s="2"/>
      <c r="N60" s="2"/>
      <c r="O60" s="2"/>
      <c r="P60" s="2"/>
      <c r="Q60" s="2"/>
      <c r="R60" s="2"/>
      <c r="S60" s="2"/>
      <c r="T60" s="2"/>
      <c r="U60" s="2"/>
      <c r="V60" s="2"/>
      <c r="W60" s="2"/>
      <c r="X60" s="2"/>
      <c r="Y60" s="2"/>
      <c r="Z60" s="2"/>
      <c r="AA60" s="2"/>
      <c r="AB60" s="2"/>
    </row>
    <row r="61" spans="1:28" ht="14.25" customHeight="1">
      <c r="A61" s="2"/>
      <c r="B61" s="75"/>
      <c r="C61" s="2"/>
      <c r="D61" s="2"/>
      <c r="E61" s="2"/>
      <c r="F61" s="2"/>
      <c r="G61" s="2"/>
      <c r="H61" s="2"/>
      <c r="I61" s="2"/>
      <c r="J61" s="2"/>
      <c r="K61" s="2"/>
      <c r="L61" s="2"/>
      <c r="M61" s="2"/>
      <c r="N61" s="2"/>
      <c r="O61" s="2"/>
      <c r="P61" s="2"/>
      <c r="Q61" s="2"/>
      <c r="R61" s="2"/>
      <c r="S61" s="2"/>
      <c r="T61" s="2"/>
      <c r="U61" s="2"/>
      <c r="V61" s="2"/>
      <c r="W61" s="2"/>
      <c r="X61" s="2"/>
      <c r="Y61" s="2"/>
      <c r="Z61" s="2"/>
      <c r="AA61" s="2"/>
      <c r="AB61" s="2"/>
    </row>
    <row r="62" spans="1:28" ht="14.25" customHeight="1">
      <c r="A62" s="2"/>
      <c r="B62" s="75"/>
      <c r="C62" s="2"/>
      <c r="D62" s="2"/>
      <c r="E62" s="2"/>
      <c r="F62" s="2"/>
      <c r="G62" s="2"/>
      <c r="H62" s="2"/>
      <c r="I62" s="2"/>
      <c r="J62" s="2"/>
      <c r="K62" s="2"/>
      <c r="L62" s="2"/>
      <c r="M62" s="2"/>
      <c r="N62" s="2"/>
      <c r="O62" s="2"/>
      <c r="P62" s="2"/>
      <c r="Q62" s="2"/>
      <c r="R62" s="2"/>
      <c r="S62" s="2"/>
      <c r="T62" s="2"/>
      <c r="U62" s="2"/>
      <c r="V62" s="2"/>
      <c r="W62" s="2"/>
      <c r="X62" s="2"/>
      <c r="Y62" s="2"/>
      <c r="Z62" s="2"/>
      <c r="AA62" s="2"/>
      <c r="AB62" s="2"/>
    </row>
    <row r="63" spans="1:28" ht="14.25" customHeight="1">
      <c r="A63" s="2"/>
      <c r="B63" s="75"/>
      <c r="C63" s="2"/>
      <c r="D63" s="2"/>
      <c r="E63" s="2"/>
      <c r="F63" s="2"/>
      <c r="G63" s="2"/>
      <c r="H63" s="2"/>
      <c r="I63" s="2"/>
      <c r="J63" s="2"/>
      <c r="K63" s="2"/>
      <c r="L63" s="2"/>
      <c r="M63" s="2"/>
      <c r="N63" s="2"/>
      <c r="O63" s="2"/>
      <c r="P63" s="2"/>
      <c r="Q63" s="2"/>
      <c r="R63" s="2"/>
      <c r="S63" s="2"/>
      <c r="T63" s="2"/>
      <c r="U63" s="2"/>
      <c r="V63" s="2"/>
      <c r="W63" s="2"/>
      <c r="X63" s="2"/>
      <c r="Y63" s="2"/>
      <c r="Z63" s="2"/>
      <c r="AA63" s="2"/>
      <c r="AB63" s="2"/>
    </row>
    <row r="64" spans="1:28" ht="14.25" customHeight="1">
      <c r="A64" s="2"/>
      <c r="B64" s="75"/>
      <c r="C64" s="2"/>
      <c r="D64" s="2"/>
      <c r="E64" s="2"/>
      <c r="F64" s="2"/>
      <c r="G64" s="2"/>
      <c r="H64" s="2"/>
      <c r="I64" s="2"/>
      <c r="J64" s="2"/>
      <c r="K64" s="2"/>
      <c r="L64" s="2"/>
      <c r="M64" s="2"/>
      <c r="N64" s="2"/>
      <c r="O64" s="2"/>
      <c r="P64" s="2"/>
      <c r="Q64" s="2"/>
      <c r="R64" s="2"/>
      <c r="S64" s="2"/>
      <c r="T64" s="2"/>
      <c r="U64" s="2"/>
      <c r="V64" s="2"/>
      <c r="W64" s="2"/>
      <c r="X64" s="2"/>
      <c r="Y64" s="2"/>
      <c r="Z64" s="2"/>
      <c r="AA64" s="2"/>
      <c r="AB64" s="2"/>
    </row>
    <row r="65" spans="1:28" ht="14.25" customHeight="1">
      <c r="A65" s="2"/>
      <c r="B65" s="75"/>
      <c r="C65" s="2"/>
      <c r="D65" s="2"/>
      <c r="E65" s="2"/>
      <c r="F65" s="2"/>
      <c r="G65" s="2"/>
      <c r="H65" s="2"/>
      <c r="I65" s="2"/>
      <c r="J65" s="2"/>
      <c r="K65" s="2"/>
      <c r="L65" s="2"/>
      <c r="M65" s="2"/>
      <c r="N65" s="2"/>
      <c r="O65" s="2"/>
      <c r="P65" s="2"/>
      <c r="Q65" s="2"/>
      <c r="R65" s="2"/>
      <c r="S65" s="2"/>
      <c r="T65" s="2"/>
      <c r="U65" s="2"/>
      <c r="V65" s="2"/>
      <c r="W65" s="2"/>
      <c r="X65" s="2"/>
      <c r="Y65" s="2"/>
      <c r="Z65" s="2"/>
      <c r="AA65" s="2"/>
      <c r="AB65" s="2"/>
    </row>
    <row r="66" spans="1:28" ht="14.25" customHeight="1">
      <c r="A66" s="2"/>
      <c r="B66" s="75"/>
      <c r="C66" s="2"/>
      <c r="D66" s="2"/>
      <c r="E66" s="2"/>
      <c r="F66" s="2"/>
      <c r="G66" s="2"/>
      <c r="H66" s="2"/>
      <c r="I66" s="2"/>
      <c r="J66" s="2"/>
      <c r="K66" s="2"/>
      <c r="L66" s="2"/>
      <c r="M66" s="2"/>
      <c r="N66" s="2"/>
      <c r="O66" s="2"/>
      <c r="P66" s="2"/>
      <c r="Q66" s="2"/>
      <c r="R66" s="2"/>
      <c r="S66" s="2"/>
      <c r="T66" s="2"/>
      <c r="U66" s="2"/>
      <c r="V66" s="2"/>
      <c r="W66" s="2"/>
      <c r="X66" s="2"/>
      <c r="Y66" s="2"/>
      <c r="Z66" s="2"/>
      <c r="AA66" s="2"/>
      <c r="AB66" s="2"/>
    </row>
    <row r="67" spans="1:28" ht="14.25" customHeight="1">
      <c r="A67" s="2"/>
      <c r="B67" s="75"/>
      <c r="C67" s="2"/>
      <c r="D67" s="2"/>
      <c r="E67" s="2"/>
      <c r="F67" s="2"/>
      <c r="G67" s="2"/>
      <c r="H67" s="2"/>
      <c r="I67" s="2"/>
      <c r="J67" s="2"/>
      <c r="K67" s="2"/>
      <c r="L67" s="2"/>
      <c r="M67" s="2"/>
      <c r="N67" s="2"/>
      <c r="O67" s="2"/>
      <c r="P67" s="2"/>
      <c r="Q67" s="2"/>
      <c r="R67" s="2"/>
      <c r="S67" s="2"/>
      <c r="T67" s="2"/>
      <c r="U67" s="2"/>
      <c r="V67" s="2"/>
      <c r="W67" s="2"/>
      <c r="X67" s="2"/>
      <c r="Y67" s="2"/>
      <c r="Z67" s="2"/>
      <c r="AA67" s="2"/>
      <c r="AB67" s="2"/>
    </row>
    <row r="68" spans="1:28" ht="14.25" customHeight="1">
      <c r="A68" s="2"/>
      <c r="B68" s="75"/>
      <c r="C68" s="2"/>
      <c r="D68" s="2"/>
      <c r="E68" s="2"/>
      <c r="F68" s="2"/>
      <c r="G68" s="2"/>
      <c r="H68" s="2"/>
      <c r="I68" s="2"/>
      <c r="J68" s="2"/>
      <c r="K68" s="2"/>
      <c r="L68" s="2"/>
      <c r="M68" s="2"/>
      <c r="N68" s="2"/>
      <c r="O68" s="2"/>
      <c r="P68" s="2"/>
      <c r="Q68" s="2"/>
      <c r="R68" s="2"/>
      <c r="S68" s="2"/>
      <c r="T68" s="2"/>
      <c r="U68" s="2"/>
      <c r="V68" s="2"/>
      <c r="W68" s="2"/>
      <c r="X68" s="2"/>
      <c r="Y68" s="2"/>
      <c r="Z68" s="2"/>
      <c r="AA68" s="2"/>
      <c r="AB68" s="2"/>
    </row>
    <row r="69" spans="1:28" ht="14.25" customHeight="1">
      <c r="A69" s="2"/>
      <c r="B69" s="75"/>
      <c r="C69" s="2"/>
      <c r="D69" s="2"/>
      <c r="E69" s="2"/>
      <c r="F69" s="2"/>
      <c r="G69" s="2"/>
      <c r="H69" s="2"/>
      <c r="I69" s="2"/>
      <c r="J69" s="2"/>
      <c r="K69" s="2"/>
      <c r="L69" s="2"/>
      <c r="M69" s="2"/>
      <c r="N69" s="2"/>
      <c r="O69" s="2"/>
      <c r="P69" s="2"/>
      <c r="Q69" s="2"/>
      <c r="R69" s="2"/>
      <c r="S69" s="2"/>
      <c r="T69" s="2"/>
      <c r="U69" s="2"/>
      <c r="V69" s="2"/>
      <c r="W69" s="2"/>
      <c r="X69" s="2"/>
      <c r="Y69" s="2"/>
      <c r="Z69" s="2"/>
      <c r="AA69" s="2"/>
      <c r="AB69" s="2"/>
    </row>
    <row r="70" spans="1:28" ht="14.25" customHeight="1">
      <c r="A70" s="2"/>
      <c r="B70" s="75"/>
      <c r="C70" s="2"/>
      <c r="D70" s="2"/>
      <c r="E70" s="2"/>
      <c r="F70" s="2"/>
      <c r="G70" s="2"/>
      <c r="H70" s="2"/>
      <c r="I70" s="2"/>
      <c r="J70" s="2"/>
      <c r="K70" s="2"/>
      <c r="L70" s="2"/>
      <c r="M70" s="2"/>
      <c r="N70" s="2"/>
      <c r="O70" s="2"/>
      <c r="P70" s="2"/>
      <c r="Q70" s="2"/>
      <c r="R70" s="2"/>
      <c r="S70" s="2"/>
      <c r="T70" s="2"/>
      <c r="U70" s="2"/>
      <c r="V70" s="2"/>
      <c r="W70" s="2"/>
      <c r="X70" s="2"/>
      <c r="Y70" s="2"/>
      <c r="Z70" s="2"/>
      <c r="AA70" s="2"/>
      <c r="AB70" s="2"/>
    </row>
    <row r="71" spans="1:28" ht="14.25" customHeight="1">
      <c r="A71" s="2"/>
      <c r="B71" s="75"/>
      <c r="C71" s="2"/>
      <c r="D71" s="2"/>
      <c r="E71" s="2"/>
      <c r="F71" s="2"/>
      <c r="G71" s="2"/>
      <c r="H71" s="2"/>
      <c r="I71" s="2"/>
      <c r="J71" s="2"/>
      <c r="K71" s="2"/>
      <c r="L71" s="2"/>
      <c r="M71" s="2"/>
      <c r="N71" s="2"/>
      <c r="O71" s="2"/>
      <c r="P71" s="2"/>
      <c r="Q71" s="2"/>
      <c r="R71" s="2"/>
      <c r="S71" s="2"/>
      <c r="T71" s="2"/>
      <c r="U71" s="2"/>
      <c r="V71" s="2"/>
      <c r="W71" s="2"/>
      <c r="X71" s="2"/>
      <c r="Y71" s="2"/>
      <c r="Z71" s="2"/>
      <c r="AA71" s="2"/>
      <c r="AB71" s="2"/>
    </row>
    <row r="72" spans="1:28" ht="14.25" customHeight="1">
      <c r="A72" s="2"/>
      <c r="B72" s="75"/>
      <c r="C72" s="2"/>
      <c r="D72" s="2"/>
      <c r="E72" s="2"/>
      <c r="F72" s="2"/>
      <c r="G72" s="2"/>
      <c r="H72" s="2"/>
      <c r="I72" s="2"/>
      <c r="J72" s="2"/>
      <c r="K72" s="2"/>
      <c r="L72" s="2"/>
      <c r="M72" s="2"/>
      <c r="N72" s="2"/>
      <c r="O72" s="2"/>
      <c r="P72" s="2"/>
      <c r="Q72" s="2"/>
      <c r="R72" s="2"/>
      <c r="S72" s="2"/>
      <c r="T72" s="2"/>
      <c r="U72" s="2"/>
      <c r="V72" s="2"/>
      <c r="W72" s="2"/>
      <c r="X72" s="2"/>
      <c r="Y72" s="2"/>
      <c r="Z72" s="2"/>
      <c r="AA72" s="2"/>
      <c r="AB72" s="2"/>
    </row>
    <row r="73" spans="1:28" ht="14.25" customHeight="1">
      <c r="A73" s="2"/>
      <c r="B73" s="75"/>
      <c r="C73" s="2"/>
      <c r="D73" s="2"/>
      <c r="E73" s="2"/>
      <c r="F73" s="2"/>
      <c r="G73" s="2"/>
      <c r="H73" s="2"/>
      <c r="I73" s="2"/>
      <c r="J73" s="2"/>
      <c r="K73" s="2"/>
      <c r="L73" s="2"/>
      <c r="M73" s="2"/>
      <c r="N73" s="2"/>
      <c r="O73" s="2"/>
      <c r="P73" s="2"/>
      <c r="Q73" s="2"/>
      <c r="R73" s="2"/>
      <c r="S73" s="2"/>
      <c r="T73" s="2"/>
      <c r="U73" s="2"/>
      <c r="V73" s="2"/>
      <c r="W73" s="2"/>
      <c r="X73" s="2"/>
      <c r="Y73" s="2"/>
      <c r="Z73" s="2"/>
      <c r="AA73" s="2"/>
      <c r="AB73" s="2"/>
    </row>
    <row r="74" spans="1:28" ht="14.25" customHeight="1">
      <c r="A74" s="2"/>
      <c r="B74" s="75"/>
      <c r="C74" s="2"/>
      <c r="D74" s="2"/>
      <c r="E74" s="2"/>
      <c r="F74" s="2"/>
      <c r="G74" s="2"/>
      <c r="H74" s="2"/>
      <c r="I74" s="2"/>
      <c r="J74" s="2"/>
      <c r="K74" s="2"/>
      <c r="L74" s="2"/>
      <c r="M74" s="2"/>
      <c r="N74" s="2"/>
      <c r="O74" s="2"/>
      <c r="P74" s="2"/>
      <c r="Q74" s="2"/>
      <c r="R74" s="2"/>
      <c r="S74" s="2"/>
      <c r="T74" s="2"/>
      <c r="U74" s="2"/>
      <c r="V74" s="2"/>
      <c r="W74" s="2"/>
      <c r="X74" s="2"/>
      <c r="Y74" s="2"/>
      <c r="Z74" s="2"/>
      <c r="AA74" s="2"/>
      <c r="AB74" s="2"/>
    </row>
    <row r="75" spans="1:28" ht="14.25" customHeight="1">
      <c r="A75" s="2"/>
      <c r="B75" s="75"/>
      <c r="C75" s="2"/>
      <c r="D75" s="2"/>
      <c r="E75" s="2"/>
      <c r="F75" s="2"/>
      <c r="G75" s="2"/>
      <c r="H75" s="2"/>
      <c r="I75" s="2"/>
      <c r="J75" s="2"/>
      <c r="K75" s="2"/>
      <c r="L75" s="2"/>
      <c r="M75" s="2"/>
      <c r="N75" s="2"/>
      <c r="O75" s="2"/>
      <c r="P75" s="2"/>
      <c r="Q75" s="2"/>
      <c r="R75" s="2"/>
      <c r="S75" s="2"/>
      <c r="T75" s="2"/>
      <c r="U75" s="2"/>
      <c r="V75" s="2"/>
      <c r="W75" s="2"/>
      <c r="X75" s="2"/>
      <c r="Y75" s="2"/>
      <c r="Z75" s="2"/>
      <c r="AA75" s="2"/>
      <c r="AB75" s="2"/>
    </row>
    <row r="76" spans="1:28" ht="14.25" customHeight="1">
      <c r="A76" s="2"/>
      <c r="B76" s="75"/>
      <c r="C76" s="2"/>
      <c r="D76" s="2"/>
      <c r="E76" s="2"/>
      <c r="F76" s="2"/>
      <c r="G76" s="2"/>
      <c r="H76" s="2"/>
      <c r="I76" s="2"/>
      <c r="J76" s="2"/>
      <c r="K76" s="2"/>
      <c r="L76" s="2"/>
      <c r="M76" s="2"/>
      <c r="N76" s="2"/>
      <c r="O76" s="2"/>
      <c r="P76" s="2"/>
      <c r="Q76" s="2"/>
      <c r="R76" s="2"/>
      <c r="S76" s="2"/>
      <c r="T76" s="2"/>
      <c r="U76" s="2"/>
      <c r="V76" s="2"/>
      <c r="W76" s="2"/>
      <c r="X76" s="2"/>
      <c r="Y76" s="2"/>
      <c r="Z76" s="2"/>
      <c r="AA76" s="2"/>
      <c r="AB76" s="2"/>
    </row>
    <row r="77" spans="1:28" ht="14.25" customHeight="1">
      <c r="A77" s="2"/>
      <c r="B77" s="75"/>
      <c r="C77" s="2"/>
      <c r="D77" s="2"/>
      <c r="E77" s="2"/>
      <c r="F77" s="2"/>
      <c r="G77" s="2"/>
      <c r="H77" s="2"/>
      <c r="I77" s="2"/>
      <c r="J77" s="2"/>
      <c r="K77" s="2"/>
      <c r="L77" s="2"/>
      <c r="M77" s="2"/>
      <c r="N77" s="2"/>
      <c r="O77" s="2"/>
      <c r="P77" s="2"/>
      <c r="Q77" s="2"/>
      <c r="R77" s="2"/>
      <c r="S77" s="2"/>
      <c r="T77" s="2"/>
      <c r="U77" s="2"/>
      <c r="V77" s="2"/>
      <c r="W77" s="2"/>
      <c r="X77" s="2"/>
      <c r="Y77" s="2"/>
      <c r="Z77" s="2"/>
      <c r="AA77" s="2"/>
      <c r="AB77" s="2"/>
    </row>
    <row r="78" spans="1:28" ht="14.25" customHeight="1">
      <c r="A78" s="2"/>
      <c r="B78" s="75"/>
      <c r="C78" s="2"/>
      <c r="D78" s="2"/>
      <c r="E78" s="2"/>
      <c r="F78" s="2"/>
      <c r="G78" s="2"/>
      <c r="H78" s="2"/>
      <c r="I78" s="2"/>
      <c r="J78" s="2"/>
      <c r="K78" s="2"/>
      <c r="L78" s="2"/>
      <c r="M78" s="2"/>
      <c r="N78" s="2"/>
      <c r="O78" s="2"/>
      <c r="P78" s="2"/>
      <c r="Q78" s="2"/>
      <c r="R78" s="2"/>
      <c r="S78" s="2"/>
      <c r="T78" s="2"/>
      <c r="U78" s="2"/>
      <c r="V78" s="2"/>
      <c r="W78" s="2"/>
      <c r="X78" s="2"/>
      <c r="Y78" s="2"/>
      <c r="Z78" s="2"/>
      <c r="AA78" s="2"/>
      <c r="AB78" s="2"/>
    </row>
    <row r="79" spans="1:28" ht="14.25" customHeight="1">
      <c r="A79" s="2"/>
      <c r="B79" s="75"/>
      <c r="C79" s="2"/>
      <c r="D79" s="2"/>
      <c r="E79" s="2"/>
      <c r="F79" s="2"/>
      <c r="G79" s="2"/>
      <c r="H79" s="2"/>
      <c r="I79" s="2"/>
      <c r="J79" s="2"/>
      <c r="K79" s="2"/>
      <c r="L79" s="2"/>
      <c r="M79" s="2"/>
      <c r="N79" s="2"/>
      <c r="O79" s="2"/>
      <c r="P79" s="2"/>
      <c r="Q79" s="2"/>
      <c r="R79" s="2"/>
      <c r="S79" s="2"/>
      <c r="T79" s="2"/>
      <c r="U79" s="2"/>
      <c r="V79" s="2"/>
      <c r="W79" s="2"/>
      <c r="X79" s="2"/>
      <c r="Y79" s="2"/>
      <c r="Z79" s="2"/>
      <c r="AA79" s="2"/>
      <c r="AB79" s="2"/>
    </row>
    <row r="80" spans="1:28" ht="14.25" customHeight="1">
      <c r="A80" s="2"/>
      <c r="B80" s="75"/>
      <c r="C80" s="2"/>
      <c r="D80" s="2"/>
      <c r="E80" s="2"/>
      <c r="F80" s="2"/>
      <c r="G80" s="2"/>
      <c r="H80" s="2"/>
      <c r="I80" s="2"/>
      <c r="J80" s="2"/>
      <c r="K80" s="2"/>
      <c r="L80" s="2"/>
      <c r="M80" s="2"/>
      <c r="N80" s="2"/>
      <c r="O80" s="2"/>
      <c r="P80" s="2"/>
      <c r="Q80" s="2"/>
      <c r="R80" s="2"/>
      <c r="S80" s="2"/>
      <c r="T80" s="2"/>
      <c r="U80" s="2"/>
      <c r="V80" s="2"/>
      <c r="W80" s="2"/>
      <c r="X80" s="2"/>
      <c r="Y80" s="2"/>
      <c r="Z80" s="2"/>
      <c r="AA80" s="2"/>
      <c r="AB80" s="2"/>
    </row>
    <row r="81" spans="1:28" ht="14.25" customHeight="1">
      <c r="A81" s="2"/>
      <c r="B81" s="75"/>
      <c r="C81" s="2"/>
      <c r="D81" s="2"/>
      <c r="E81" s="2"/>
      <c r="F81" s="2"/>
      <c r="G81" s="2"/>
      <c r="H81" s="2"/>
      <c r="I81" s="2"/>
      <c r="J81" s="2"/>
      <c r="K81" s="2"/>
      <c r="L81" s="2"/>
      <c r="M81" s="2"/>
      <c r="N81" s="2"/>
      <c r="O81" s="2"/>
      <c r="P81" s="2"/>
      <c r="Q81" s="2"/>
      <c r="R81" s="2"/>
      <c r="S81" s="2"/>
      <c r="T81" s="2"/>
      <c r="U81" s="2"/>
      <c r="V81" s="2"/>
      <c r="W81" s="2"/>
      <c r="X81" s="2"/>
      <c r="Y81" s="2"/>
      <c r="Z81" s="2"/>
      <c r="AA81" s="2"/>
      <c r="AB81" s="2"/>
    </row>
    <row r="82" spans="1:28" ht="14.25" customHeight="1">
      <c r="A82" s="2"/>
      <c r="B82" s="75"/>
      <c r="C82" s="2"/>
      <c r="D82" s="2"/>
      <c r="E82" s="2"/>
      <c r="F82" s="2"/>
      <c r="G82" s="2"/>
      <c r="H82" s="2"/>
      <c r="I82" s="2"/>
      <c r="J82" s="2"/>
      <c r="K82" s="2"/>
      <c r="L82" s="2"/>
      <c r="M82" s="2"/>
      <c r="N82" s="2"/>
      <c r="O82" s="2"/>
      <c r="P82" s="2"/>
      <c r="Q82" s="2"/>
      <c r="R82" s="2"/>
      <c r="S82" s="2"/>
      <c r="T82" s="2"/>
      <c r="U82" s="2"/>
      <c r="V82" s="2"/>
      <c r="W82" s="2"/>
      <c r="X82" s="2"/>
      <c r="Y82" s="2"/>
      <c r="Z82" s="2"/>
      <c r="AA82" s="2"/>
      <c r="AB82" s="2"/>
    </row>
    <row r="83" spans="1:28" ht="14.25" customHeight="1">
      <c r="A83" s="2"/>
      <c r="B83" s="75"/>
      <c r="C83" s="2"/>
      <c r="D83" s="2"/>
      <c r="E83" s="2"/>
      <c r="F83" s="2"/>
      <c r="G83" s="2"/>
      <c r="H83" s="2"/>
      <c r="I83" s="2"/>
      <c r="J83" s="2"/>
      <c r="K83" s="2"/>
      <c r="L83" s="2"/>
      <c r="M83" s="2"/>
      <c r="N83" s="2"/>
      <c r="O83" s="2"/>
      <c r="P83" s="2"/>
      <c r="Q83" s="2"/>
      <c r="R83" s="2"/>
      <c r="S83" s="2"/>
      <c r="T83" s="2"/>
      <c r="U83" s="2"/>
      <c r="V83" s="2"/>
      <c r="W83" s="2"/>
      <c r="X83" s="2"/>
      <c r="Y83" s="2"/>
      <c r="Z83" s="2"/>
      <c r="AA83" s="2"/>
      <c r="AB83" s="2"/>
    </row>
    <row r="84" spans="1:28" ht="14.25" customHeight="1">
      <c r="A84" s="2"/>
      <c r="B84" s="75"/>
      <c r="C84" s="2"/>
      <c r="D84" s="2"/>
      <c r="E84" s="2"/>
      <c r="F84" s="2"/>
      <c r="G84" s="2"/>
      <c r="H84" s="2"/>
      <c r="I84" s="2"/>
      <c r="J84" s="2"/>
      <c r="K84" s="2"/>
      <c r="L84" s="2"/>
      <c r="M84" s="2"/>
      <c r="N84" s="2"/>
      <c r="O84" s="2"/>
      <c r="P84" s="2"/>
      <c r="Q84" s="2"/>
      <c r="R84" s="2"/>
      <c r="S84" s="2"/>
      <c r="T84" s="2"/>
      <c r="U84" s="2"/>
      <c r="V84" s="2"/>
      <c r="W84" s="2"/>
      <c r="X84" s="2"/>
      <c r="Y84" s="2"/>
      <c r="Z84" s="2"/>
      <c r="AA84" s="2"/>
      <c r="AB84" s="2"/>
    </row>
    <row r="85" spans="1:28" ht="14.25" customHeight="1">
      <c r="A85" s="2"/>
      <c r="B85" s="75"/>
      <c r="C85" s="2"/>
      <c r="D85" s="2"/>
      <c r="E85" s="2"/>
      <c r="F85" s="2"/>
      <c r="G85" s="2"/>
      <c r="H85" s="2"/>
      <c r="I85" s="2"/>
      <c r="J85" s="2"/>
      <c r="K85" s="2"/>
      <c r="L85" s="2"/>
      <c r="M85" s="2"/>
      <c r="N85" s="2"/>
      <c r="O85" s="2"/>
      <c r="P85" s="2"/>
      <c r="Q85" s="2"/>
      <c r="R85" s="2"/>
      <c r="S85" s="2"/>
      <c r="T85" s="2"/>
      <c r="U85" s="2"/>
      <c r="V85" s="2"/>
      <c r="W85" s="2"/>
      <c r="X85" s="2"/>
      <c r="Y85" s="2"/>
      <c r="Z85" s="2"/>
      <c r="AA85" s="2"/>
      <c r="AB85" s="2"/>
    </row>
    <row r="86" spans="1:28" ht="14.25" customHeight="1">
      <c r="A86" s="2"/>
      <c r="B86" s="75"/>
      <c r="C86" s="2"/>
      <c r="D86" s="2"/>
      <c r="E86" s="2"/>
      <c r="F86" s="2"/>
      <c r="G86" s="2"/>
      <c r="H86" s="2"/>
      <c r="I86" s="2"/>
      <c r="J86" s="2"/>
      <c r="K86" s="2"/>
      <c r="L86" s="2"/>
      <c r="M86" s="2"/>
      <c r="N86" s="2"/>
      <c r="O86" s="2"/>
      <c r="P86" s="2"/>
      <c r="Q86" s="2"/>
      <c r="R86" s="2"/>
      <c r="S86" s="2"/>
      <c r="T86" s="2"/>
      <c r="U86" s="2"/>
      <c r="V86" s="2"/>
      <c r="W86" s="2"/>
      <c r="X86" s="2"/>
      <c r="Y86" s="2"/>
      <c r="Z86" s="2"/>
      <c r="AA86" s="2"/>
      <c r="AB86" s="2"/>
    </row>
    <row r="87" spans="1:28" ht="14.25" customHeight="1">
      <c r="A87" s="2"/>
      <c r="B87" s="75"/>
      <c r="C87" s="2"/>
      <c r="D87" s="2"/>
      <c r="E87" s="2"/>
      <c r="F87" s="2"/>
      <c r="G87" s="2"/>
      <c r="H87" s="2"/>
      <c r="I87" s="2"/>
      <c r="J87" s="2"/>
      <c r="K87" s="2"/>
      <c r="L87" s="2"/>
      <c r="M87" s="2"/>
      <c r="N87" s="2"/>
      <c r="O87" s="2"/>
      <c r="P87" s="2"/>
      <c r="Q87" s="2"/>
      <c r="R87" s="2"/>
      <c r="S87" s="2"/>
      <c r="T87" s="2"/>
      <c r="U87" s="2"/>
      <c r="V87" s="2"/>
      <c r="W87" s="2"/>
      <c r="X87" s="2"/>
      <c r="Y87" s="2"/>
      <c r="Z87" s="2"/>
      <c r="AA87" s="2"/>
      <c r="AB87" s="2"/>
    </row>
    <row r="88" spans="1:28" ht="14.25" customHeight="1">
      <c r="A88" s="2"/>
      <c r="B88" s="75"/>
      <c r="C88" s="2"/>
      <c r="D88" s="2"/>
      <c r="E88" s="2"/>
      <c r="F88" s="2"/>
      <c r="G88" s="2"/>
      <c r="H88" s="2"/>
      <c r="I88" s="2"/>
      <c r="J88" s="2"/>
      <c r="K88" s="2"/>
      <c r="L88" s="2"/>
      <c r="M88" s="2"/>
      <c r="N88" s="2"/>
      <c r="O88" s="2"/>
      <c r="P88" s="2"/>
      <c r="Q88" s="2"/>
      <c r="R88" s="2"/>
      <c r="S88" s="2"/>
      <c r="T88" s="2"/>
      <c r="U88" s="2"/>
      <c r="V88" s="2"/>
      <c r="W88" s="2"/>
      <c r="X88" s="2"/>
      <c r="Y88" s="2"/>
      <c r="Z88" s="2"/>
      <c r="AA88" s="2"/>
      <c r="AB88" s="2"/>
    </row>
    <row r="89" spans="1:28" ht="14.25" customHeight="1">
      <c r="A89" s="2"/>
      <c r="B89" s="75"/>
      <c r="C89" s="2"/>
      <c r="D89" s="2"/>
      <c r="E89" s="2"/>
      <c r="F89" s="2"/>
      <c r="G89" s="2"/>
      <c r="H89" s="2"/>
      <c r="I89" s="2"/>
      <c r="J89" s="2"/>
      <c r="K89" s="2"/>
      <c r="L89" s="2"/>
      <c r="M89" s="2"/>
      <c r="N89" s="2"/>
      <c r="O89" s="2"/>
      <c r="P89" s="2"/>
      <c r="Q89" s="2"/>
      <c r="R89" s="2"/>
      <c r="S89" s="2"/>
      <c r="T89" s="2"/>
      <c r="U89" s="2"/>
      <c r="V89" s="2"/>
      <c r="W89" s="2"/>
      <c r="X89" s="2"/>
      <c r="Y89" s="2"/>
      <c r="Z89" s="2"/>
      <c r="AA89" s="2"/>
      <c r="AB89" s="2"/>
    </row>
    <row r="90" spans="1:28" ht="14.25" customHeight="1">
      <c r="A90" s="2"/>
      <c r="B90" s="75"/>
      <c r="C90" s="2"/>
      <c r="D90" s="2"/>
      <c r="E90" s="2"/>
      <c r="F90" s="2"/>
      <c r="G90" s="2"/>
      <c r="H90" s="2"/>
      <c r="I90" s="2"/>
      <c r="J90" s="2"/>
      <c r="K90" s="2"/>
      <c r="L90" s="2"/>
      <c r="M90" s="2"/>
      <c r="N90" s="2"/>
      <c r="O90" s="2"/>
      <c r="P90" s="2"/>
      <c r="Q90" s="2"/>
      <c r="R90" s="2"/>
      <c r="S90" s="2"/>
      <c r="T90" s="2"/>
      <c r="U90" s="2"/>
      <c r="V90" s="2"/>
      <c r="W90" s="2"/>
      <c r="X90" s="2"/>
      <c r="Y90" s="2"/>
      <c r="Z90" s="2"/>
      <c r="AA90" s="2"/>
      <c r="AB90" s="2"/>
    </row>
    <row r="91" spans="1:28" ht="14.25" customHeight="1">
      <c r="A91" s="2"/>
      <c r="B91" s="75"/>
      <c r="C91" s="2"/>
      <c r="D91" s="2"/>
      <c r="E91" s="2"/>
      <c r="F91" s="2"/>
      <c r="G91" s="2"/>
      <c r="H91" s="2"/>
      <c r="I91" s="2"/>
      <c r="J91" s="2"/>
      <c r="K91" s="2"/>
      <c r="L91" s="2"/>
      <c r="M91" s="2"/>
      <c r="N91" s="2"/>
      <c r="O91" s="2"/>
      <c r="P91" s="2"/>
      <c r="Q91" s="2"/>
      <c r="R91" s="2"/>
      <c r="S91" s="2"/>
      <c r="T91" s="2"/>
      <c r="U91" s="2"/>
      <c r="V91" s="2"/>
      <c r="W91" s="2"/>
      <c r="X91" s="2"/>
      <c r="Y91" s="2"/>
      <c r="Z91" s="2"/>
      <c r="AA91" s="2"/>
      <c r="AB91" s="2"/>
    </row>
    <row r="92" spans="1:28" ht="14.25" customHeight="1">
      <c r="A92" s="2"/>
      <c r="B92" s="75"/>
      <c r="C92" s="2"/>
      <c r="D92" s="2"/>
      <c r="E92" s="2"/>
      <c r="F92" s="2"/>
      <c r="G92" s="2"/>
      <c r="H92" s="2"/>
      <c r="I92" s="2"/>
      <c r="J92" s="2"/>
      <c r="K92" s="2"/>
      <c r="L92" s="2"/>
      <c r="M92" s="2"/>
      <c r="N92" s="2"/>
      <c r="O92" s="2"/>
      <c r="P92" s="2"/>
      <c r="Q92" s="2"/>
      <c r="R92" s="2"/>
      <c r="S92" s="2"/>
      <c r="T92" s="2"/>
      <c r="U92" s="2"/>
      <c r="V92" s="2"/>
      <c r="W92" s="2"/>
      <c r="X92" s="2"/>
      <c r="Y92" s="2"/>
      <c r="Z92" s="2"/>
      <c r="AA92" s="2"/>
      <c r="AB92" s="2"/>
    </row>
    <row r="93" spans="1:28" ht="14.25" customHeight="1">
      <c r="A93" s="2"/>
      <c r="B93" s="75"/>
      <c r="C93" s="2"/>
      <c r="D93" s="2"/>
      <c r="E93" s="2"/>
      <c r="F93" s="2"/>
      <c r="G93" s="2"/>
      <c r="H93" s="2"/>
      <c r="I93" s="2"/>
      <c r="J93" s="2"/>
      <c r="K93" s="2"/>
      <c r="L93" s="2"/>
      <c r="M93" s="2"/>
      <c r="N93" s="2"/>
      <c r="O93" s="2"/>
      <c r="P93" s="2"/>
      <c r="Q93" s="2"/>
      <c r="R93" s="2"/>
      <c r="S93" s="2"/>
      <c r="T93" s="2"/>
      <c r="U93" s="2"/>
      <c r="V93" s="2"/>
      <c r="W93" s="2"/>
      <c r="X93" s="2"/>
      <c r="Y93" s="2"/>
      <c r="Z93" s="2"/>
      <c r="AA93" s="2"/>
      <c r="AB93" s="2"/>
    </row>
    <row r="94" spans="1:28" ht="14.25" customHeight="1">
      <c r="A94" s="2"/>
      <c r="B94" s="75"/>
      <c r="C94" s="2"/>
      <c r="D94" s="2"/>
      <c r="E94" s="2"/>
      <c r="F94" s="2"/>
      <c r="G94" s="2"/>
      <c r="H94" s="2"/>
      <c r="I94" s="2"/>
      <c r="J94" s="2"/>
      <c r="K94" s="2"/>
      <c r="L94" s="2"/>
      <c r="M94" s="2"/>
      <c r="N94" s="2"/>
      <c r="O94" s="2"/>
      <c r="P94" s="2"/>
      <c r="Q94" s="2"/>
      <c r="R94" s="2"/>
      <c r="S94" s="2"/>
      <c r="T94" s="2"/>
      <c r="U94" s="2"/>
      <c r="V94" s="2"/>
      <c r="W94" s="2"/>
      <c r="X94" s="2"/>
      <c r="Y94" s="2"/>
      <c r="Z94" s="2"/>
      <c r="AA94" s="2"/>
      <c r="AB94" s="2"/>
    </row>
    <row r="95" spans="1:28" ht="14.25" customHeight="1">
      <c r="A95" s="2"/>
      <c r="B95" s="75"/>
      <c r="C95" s="2"/>
      <c r="D95" s="2"/>
      <c r="E95" s="2"/>
      <c r="F95" s="2"/>
      <c r="G95" s="2"/>
      <c r="H95" s="2"/>
      <c r="I95" s="2"/>
      <c r="J95" s="2"/>
      <c r="K95" s="2"/>
      <c r="L95" s="2"/>
      <c r="M95" s="2"/>
      <c r="N95" s="2"/>
      <c r="O95" s="2"/>
      <c r="P95" s="2"/>
      <c r="Q95" s="2"/>
      <c r="R95" s="2"/>
      <c r="S95" s="2"/>
      <c r="T95" s="2"/>
      <c r="U95" s="2"/>
      <c r="V95" s="2"/>
      <c r="W95" s="2"/>
      <c r="X95" s="2"/>
      <c r="Y95" s="2"/>
      <c r="Z95" s="2"/>
      <c r="AA95" s="2"/>
      <c r="AB95" s="2"/>
    </row>
    <row r="96" spans="1:28" ht="14.25" customHeight="1">
      <c r="A96" s="2"/>
      <c r="B96" s="75"/>
      <c r="C96" s="2"/>
      <c r="D96" s="2"/>
      <c r="E96" s="2"/>
      <c r="F96" s="2"/>
      <c r="G96" s="2"/>
      <c r="H96" s="2"/>
      <c r="I96" s="2"/>
      <c r="J96" s="2"/>
      <c r="K96" s="2"/>
      <c r="L96" s="2"/>
      <c r="M96" s="2"/>
      <c r="N96" s="2"/>
      <c r="O96" s="2"/>
      <c r="P96" s="2"/>
      <c r="Q96" s="2"/>
      <c r="R96" s="2"/>
      <c r="S96" s="2"/>
      <c r="T96" s="2"/>
      <c r="U96" s="2"/>
      <c r="V96" s="2"/>
      <c r="W96" s="2"/>
      <c r="X96" s="2"/>
      <c r="Y96" s="2"/>
      <c r="Z96" s="2"/>
      <c r="AA96" s="2"/>
      <c r="AB96" s="2"/>
    </row>
    <row r="97" spans="1:28" ht="14.25" customHeight="1">
      <c r="A97" s="2"/>
      <c r="B97" s="75"/>
      <c r="C97" s="2"/>
      <c r="D97" s="2"/>
      <c r="E97" s="2"/>
      <c r="F97" s="2"/>
      <c r="G97" s="2"/>
      <c r="H97" s="2"/>
      <c r="I97" s="2"/>
      <c r="J97" s="2"/>
      <c r="K97" s="2"/>
      <c r="L97" s="2"/>
      <c r="M97" s="2"/>
      <c r="N97" s="2"/>
      <c r="O97" s="2"/>
      <c r="P97" s="2"/>
      <c r="Q97" s="2"/>
      <c r="R97" s="2"/>
      <c r="S97" s="2"/>
      <c r="T97" s="2"/>
      <c r="U97" s="2"/>
      <c r="V97" s="2"/>
      <c r="W97" s="2"/>
      <c r="X97" s="2"/>
      <c r="Y97" s="2"/>
      <c r="Z97" s="2"/>
      <c r="AA97" s="2"/>
      <c r="AB97" s="2"/>
    </row>
    <row r="98" spans="1:28" ht="14.25" customHeight="1">
      <c r="A98" s="2"/>
      <c r="B98" s="75"/>
      <c r="C98" s="2"/>
      <c r="D98" s="2"/>
      <c r="E98" s="2"/>
      <c r="F98" s="2"/>
      <c r="G98" s="2"/>
      <c r="H98" s="2"/>
      <c r="I98" s="2"/>
      <c r="J98" s="2"/>
      <c r="K98" s="2"/>
      <c r="L98" s="2"/>
      <c r="M98" s="2"/>
      <c r="N98" s="2"/>
      <c r="O98" s="2"/>
      <c r="P98" s="2"/>
      <c r="Q98" s="2"/>
      <c r="R98" s="2"/>
      <c r="S98" s="2"/>
      <c r="T98" s="2"/>
      <c r="U98" s="2"/>
      <c r="V98" s="2"/>
      <c r="W98" s="2"/>
      <c r="X98" s="2"/>
      <c r="Y98" s="2"/>
      <c r="Z98" s="2"/>
      <c r="AA98" s="2"/>
      <c r="AB98" s="2"/>
    </row>
    <row r="99" spans="1:28" ht="14.25" customHeight="1">
      <c r="A99" s="2"/>
      <c r="B99" s="75"/>
      <c r="C99" s="2"/>
      <c r="D99" s="2"/>
      <c r="E99" s="2"/>
      <c r="F99" s="2"/>
      <c r="G99" s="2"/>
      <c r="H99" s="2"/>
      <c r="I99" s="2"/>
      <c r="J99" s="2"/>
      <c r="K99" s="2"/>
      <c r="L99" s="2"/>
      <c r="M99" s="2"/>
      <c r="N99" s="2"/>
      <c r="O99" s="2"/>
      <c r="P99" s="2"/>
      <c r="Q99" s="2"/>
      <c r="R99" s="2"/>
      <c r="S99" s="2"/>
      <c r="T99" s="2"/>
      <c r="U99" s="2"/>
      <c r="V99" s="2"/>
      <c r="W99" s="2"/>
      <c r="X99" s="2"/>
      <c r="Y99" s="2"/>
      <c r="Z99" s="2"/>
      <c r="AA99" s="2"/>
      <c r="AB99" s="2"/>
    </row>
    <row r="100" spans="1:28" ht="14.25" customHeight="1">
      <c r="A100" s="2"/>
      <c r="B100" s="75"/>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4.25" customHeight="1">
      <c r="A101" s="2"/>
      <c r="B101" s="75"/>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4.25" customHeight="1">
      <c r="A102" s="2"/>
      <c r="B102" s="75"/>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4.25" customHeight="1">
      <c r="A103" s="2"/>
      <c r="B103" s="75"/>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4.25" customHeight="1">
      <c r="A104" s="2"/>
      <c r="B104" s="75"/>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4.25" customHeight="1">
      <c r="A105" s="2"/>
      <c r="B105" s="75"/>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4.25" customHeight="1">
      <c r="A106" s="2"/>
      <c r="B106" s="75"/>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4.25" customHeight="1">
      <c r="A107" s="2"/>
      <c r="B107" s="75"/>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4.25" customHeight="1">
      <c r="A108" s="2"/>
      <c r="B108" s="75"/>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4.25" customHeight="1">
      <c r="A109" s="2"/>
      <c r="B109" s="75"/>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4.25" customHeight="1">
      <c r="A110" s="2"/>
      <c r="B110" s="75"/>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4.25" customHeight="1">
      <c r="A111" s="2"/>
      <c r="B111" s="75"/>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4.25" customHeight="1">
      <c r="A112" s="2"/>
      <c r="B112" s="75"/>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4.25" customHeight="1">
      <c r="A113" s="2"/>
      <c r="B113" s="75"/>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4.25" customHeight="1">
      <c r="A114" s="2"/>
      <c r="B114" s="75"/>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4.25" customHeight="1">
      <c r="A115" s="2"/>
      <c r="B115" s="75"/>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4.25" customHeight="1">
      <c r="A116" s="2"/>
      <c r="B116" s="75"/>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4.25" customHeight="1">
      <c r="A117" s="2"/>
      <c r="B117" s="75"/>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4.25" customHeight="1">
      <c r="A118" s="2"/>
      <c r="B118" s="75"/>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4.25" customHeight="1">
      <c r="A119" s="2"/>
      <c r="B119" s="75"/>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4.25" customHeight="1">
      <c r="A120" s="2"/>
      <c r="B120" s="75"/>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4.25" customHeight="1">
      <c r="A121" s="2"/>
      <c r="B121" s="75"/>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4.25" customHeight="1">
      <c r="A122" s="2"/>
      <c r="B122" s="75"/>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ht="14.25" customHeight="1">
      <c r="A123" s="2"/>
      <c r="B123" s="75"/>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4.25" customHeight="1">
      <c r="A124" s="2"/>
      <c r="B124" s="75"/>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4.25" customHeight="1">
      <c r="A125" s="2"/>
      <c r="B125" s="75"/>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4.25" customHeight="1">
      <c r="A126" s="2"/>
      <c r="B126" s="75"/>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4.25" customHeight="1">
      <c r="A127" s="2"/>
      <c r="B127" s="75"/>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4.25" customHeight="1">
      <c r="A128" s="2"/>
      <c r="B128" s="75"/>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4.25" customHeight="1">
      <c r="A129" s="2"/>
      <c r="B129" s="75"/>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4.25" customHeight="1">
      <c r="A130" s="2"/>
      <c r="B130" s="75"/>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4.25" customHeight="1">
      <c r="A131" s="2"/>
      <c r="B131" s="75"/>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4.25" customHeight="1">
      <c r="A132" s="2"/>
      <c r="B132" s="75"/>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4.25" customHeight="1">
      <c r="A133" s="2"/>
      <c r="B133" s="75"/>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4.25" customHeight="1">
      <c r="A134" s="2"/>
      <c r="B134" s="75"/>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4.25" customHeight="1">
      <c r="A135" s="2"/>
      <c r="B135" s="75"/>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4.25" customHeight="1">
      <c r="A136" s="2"/>
      <c r="B136" s="75"/>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4.25" customHeight="1">
      <c r="A137" s="2"/>
      <c r="B137" s="75"/>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4.25" customHeight="1">
      <c r="A138" s="2"/>
      <c r="B138" s="75"/>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4.25" customHeight="1">
      <c r="A139" s="2"/>
      <c r="B139" s="75"/>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4.25" customHeight="1">
      <c r="A140" s="2"/>
      <c r="B140" s="75"/>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4.25" customHeight="1">
      <c r="A141" s="2"/>
      <c r="B141" s="75"/>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4.25" customHeight="1">
      <c r="A142" s="2"/>
      <c r="B142" s="75"/>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4.25" customHeight="1">
      <c r="A143" s="2"/>
      <c r="B143" s="75"/>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4.25" customHeight="1">
      <c r="A144" s="2"/>
      <c r="B144" s="75"/>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4.25" customHeight="1">
      <c r="A145" s="2"/>
      <c r="B145" s="75"/>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4.25" customHeight="1">
      <c r="A146" s="2"/>
      <c r="B146" s="75"/>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4.25" customHeight="1">
      <c r="A147" s="2"/>
      <c r="B147" s="75"/>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4.25" customHeight="1">
      <c r="A148" s="2"/>
      <c r="B148" s="75"/>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4.25" customHeight="1">
      <c r="A149" s="2"/>
      <c r="B149" s="75"/>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4.25" customHeight="1">
      <c r="A150" s="2"/>
      <c r="B150" s="75"/>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4.25" customHeight="1">
      <c r="A151" s="2"/>
      <c r="B151" s="75"/>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4.25" customHeight="1">
      <c r="A152" s="2"/>
      <c r="B152" s="75"/>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4.25" customHeight="1">
      <c r="A153" s="2"/>
      <c r="B153" s="75"/>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4.25" customHeight="1">
      <c r="A154" s="2"/>
      <c r="B154" s="75"/>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4.25" customHeight="1">
      <c r="A155" s="2"/>
      <c r="B155" s="75"/>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4.25" customHeight="1">
      <c r="A156" s="2"/>
      <c r="B156" s="75"/>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4.25" customHeight="1">
      <c r="A157" s="2"/>
      <c r="B157" s="75"/>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4.25" customHeight="1">
      <c r="A158" s="2"/>
      <c r="B158" s="75"/>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4.25" customHeight="1">
      <c r="A159" s="2"/>
      <c r="B159" s="75"/>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4.25" customHeight="1">
      <c r="A160" s="2"/>
      <c r="B160" s="75"/>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4.25" customHeight="1">
      <c r="A161" s="2"/>
      <c r="B161" s="75"/>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4.25" customHeight="1">
      <c r="A162" s="2"/>
      <c r="B162" s="75"/>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4.25" customHeight="1">
      <c r="A163" s="2"/>
      <c r="B163" s="75"/>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4.25" customHeight="1">
      <c r="A164" s="2"/>
      <c r="B164" s="75"/>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4.25" customHeight="1">
      <c r="A165" s="2"/>
      <c r="B165" s="75"/>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4.25" customHeight="1">
      <c r="A166" s="2"/>
      <c r="B166" s="75"/>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4.25" customHeight="1">
      <c r="A167" s="2"/>
      <c r="B167" s="75"/>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4.25" customHeight="1">
      <c r="A168" s="2"/>
      <c r="B168" s="75"/>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4.25" customHeight="1">
      <c r="A169" s="2"/>
      <c r="B169" s="75"/>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4.25" customHeight="1">
      <c r="A170" s="2"/>
      <c r="B170" s="75"/>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4.25" customHeight="1">
      <c r="A171" s="2"/>
      <c r="B171" s="75"/>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4.25" customHeight="1">
      <c r="A172" s="2"/>
      <c r="B172" s="75"/>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4.25" customHeight="1">
      <c r="A173" s="2"/>
      <c r="B173" s="75"/>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4.25" customHeight="1">
      <c r="A174" s="2"/>
      <c r="B174" s="75"/>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4.25" customHeight="1">
      <c r="A175" s="2"/>
      <c r="B175" s="75"/>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4.25" customHeight="1">
      <c r="A176" s="2"/>
      <c r="B176" s="75"/>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4.25" customHeight="1">
      <c r="A177" s="2"/>
      <c r="B177" s="75"/>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4.25" customHeight="1">
      <c r="A178" s="2"/>
      <c r="B178" s="75"/>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4.25" customHeight="1">
      <c r="A179" s="2"/>
      <c r="B179" s="75"/>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4.25" customHeight="1">
      <c r="A180" s="2"/>
      <c r="B180" s="75"/>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4.25" customHeight="1">
      <c r="A181" s="2"/>
      <c r="B181" s="75"/>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4.25" customHeight="1">
      <c r="A182" s="2"/>
      <c r="B182" s="75"/>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4.25" customHeight="1">
      <c r="A183" s="2"/>
      <c r="B183" s="75"/>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4.25" customHeight="1">
      <c r="A184" s="2"/>
      <c r="B184" s="75"/>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4.25" customHeight="1">
      <c r="A185" s="2"/>
      <c r="B185" s="75"/>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4.25" customHeight="1">
      <c r="A186" s="2"/>
      <c r="B186" s="75"/>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4.25" customHeight="1">
      <c r="A187" s="2"/>
      <c r="B187" s="75"/>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4.25" customHeight="1">
      <c r="A188" s="2"/>
      <c r="B188" s="75"/>
      <c r="C188" s="2"/>
      <c r="D188" s="2"/>
      <c r="E188" s="2"/>
      <c r="F188" s="2"/>
      <c r="G188" s="2"/>
      <c r="H188" s="2"/>
      <c r="I188" s="2"/>
      <c r="J188" s="2"/>
      <c r="K188" s="2"/>
      <c r="L188" s="2"/>
      <c r="M188" s="2"/>
      <c r="N188" s="2"/>
    </row>
    <row r="189" spans="1:28" ht="14.25" customHeight="1"/>
    <row r="190" spans="1:28" ht="14.25" customHeight="1"/>
    <row r="191" spans="1:28" ht="14.25" customHeight="1"/>
    <row r="192" spans="1:28"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sheetData>
  <sheetProtection algorithmName="SHA-512" hashValue="Bd+IgHYvNbAnqZqG/2KrtsZi0yWeV+V2+lYvRgz7JVhrcYlEQerelAwxyJYWNOxYZ1kqDbMrKJB34K00VOQe9Q==" saltValue="24hjDesMbq+aJGl8kXUtTA==" spinCount="100000" sheet="1" objects="1" scenarios="1" selectLockedCells="1"/>
  <mergeCells count="2">
    <mergeCell ref="C1:H1"/>
    <mergeCell ref="F4:H4"/>
  </mergeCells>
  <dataValidations count="2">
    <dataValidation type="list" allowBlank="1" showErrorMessage="1" sqref="L20" xr:uid="{00000000-0002-0000-0200-000000000000}">
      <formula1>#REF!</formula1>
    </dataValidation>
    <dataValidation type="list" allowBlank="1" showInputMessage="1" showErrorMessage="1" sqref="G32" xr:uid="{C9095182-DB00-4915-87D5-0D726519A330}">
      <formula1>"EPS,Straw"</formula1>
    </dataValidation>
  </dataValidations>
  <pageMargins left="0.7" right="0.7" top="0.78740157499999996" bottom="0.78740157499999996" header="0" footer="0"/>
  <pageSetup paperSize="9" orientation="portrait" r:id="rId1"/>
  <rowBreaks count="1" manualBreakCount="1">
    <brk id="40" man="1"/>
  </rowBreaks>
  <drawing r:id="rId2"/>
  <extLst>
    <ext xmlns:x14="http://schemas.microsoft.com/office/spreadsheetml/2009/9/main" uri="{CCE6A557-97BC-4b89-ADB6-D9C93CAAB3DF}">
      <x14:dataValidations xmlns:xm="http://schemas.microsoft.com/office/excel/2006/main" count="1">
        <x14:dataValidation type="list" allowBlank="1" showErrorMessage="1" xr:uid="{00000000-0002-0000-0200-000001000000}">
          <x14:formula1>
            <xm:f>Translation!$B$86:$B$87</xm:f>
          </x14:formula1>
          <xm:sqref>G20 G31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548135"/>
  </sheetPr>
  <dimension ref="A1:V1000"/>
  <sheetViews>
    <sheetView topLeftCell="A4" workbookViewId="0"/>
  </sheetViews>
  <sheetFormatPr baseColWidth="10" defaultColWidth="14.42578125" defaultRowHeight="15" customHeight="1"/>
  <cols>
    <col min="1" max="26" width="10.7109375" customWidth="1"/>
  </cols>
  <sheetData>
    <row r="1" spans="1:22" ht="14.25" customHeight="1">
      <c r="A1" s="6"/>
      <c r="B1" s="7"/>
      <c r="C1" s="7"/>
      <c r="D1" s="7"/>
      <c r="E1" s="7"/>
      <c r="F1" s="7"/>
      <c r="G1" s="7"/>
      <c r="H1" s="7"/>
      <c r="I1" s="7"/>
      <c r="J1" s="7"/>
      <c r="K1" s="7"/>
      <c r="L1" s="7"/>
      <c r="M1" s="8"/>
      <c r="N1" s="2"/>
      <c r="O1" s="2"/>
      <c r="P1" s="2"/>
      <c r="Q1" s="2"/>
      <c r="R1" s="2"/>
      <c r="S1" s="2"/>
      <c r="T1" s="2"/>
      <c r="U1" s="2"/>
      <c r="V1" s="2"/>
    </row>
    <row r="2" spans="1:22" ht="14.25" customHeight="1">
      <c r="A2" s="9"/>
      <c r="B2" s="10"/>
      <c r="C2" s="10"/>
      <c r="D2" s="10"/>
      <c r="E2" s="10"/>
      <c r="F2" s="10"/>
      <c r="G2" s="10"/>
      <c r="H2" s="10"/>
      <c r="I2" s="10"/>
      <c r="J2" s="10"/>
      <c r="K2" s="10"/>
      <c r="L2" s="10"/>
      <c r="M2" s="11"/>
      <c r="N2" s="2"/>
      <c r="O2" s="2"/>
      <c r="P2" s="2"/>
      <c r="Q2" s="2"/>
      <c r="R2" s="2"/>
      <c r="S2" s="2"/>
      <c r="T2" s="2"/>
      <c r="U2" s="2"/>
      <c r="V2" s="2"/>
    </row>
    <row r="3" spans="1:22" ht="14.25" customHeight="1">
      <c r="A3" s="9"/>
      <c r="B3" s="365" t="str">
        <f>Translation!B122</f>
        <v>Cooling curve &amp; cooling load</v>
      </c>
      <c r="C3" s="363"/>
      <c r="D3" s="363"/>
      <c r="E3" s="363"/>
      <c r="F3" s="363"/>
      <c r="G3" s="363"/>
      <c r="H3" s="363"/>
      <c r="I3" s="363"/>
      <c r="J3" s="363"/>
      <c r="K3" s="364"/>
      <c r="L3" s="10"/>
      <c r="M3" s="11"/>
      <c r="N3" s="2"/>
      <c r="O3" s="2"/>
      <c r="P3" s="2"/>
      <c r="Q3" s="2"/>
      <c r="R3" s="2"/>
      <c r="S3" s="2"/>
      <c r="T3" s="2"/>
      <c r="U3" s="2"/>
      <c r="V3" s="2"/>
    </row>
    <row r="4" spans="1:22" ht="14.25" customHeight="1">
      <c r="A4" s="9"/>
      <c r="B4" s="10"/>
      <c r="C4" s="10"/>
      <c r="D4" s="10"/>
      <c r="E4" s="10"/>
      <c r="F4" s="10"/>
      <c r="G4" s="10"/>
      <c r="H4" s="10"/>
      <c r="I4" s="10"/>
      <c r="J4" s="10"/>
      <c r="K4" s="10"/>
      <c r="L4" s="10"/>
      <c r="M4" s="11"/>
      <c r="N4" s="2"/>
      <c r="O4" s="2"/>
      <c r="P4" s="2"/>
      <c r="Q4" s="2"/>
      <c r="R4" s="2"/>
      <c r="S4" s="2"/>
      <c r="T4" s="2"/>
      <c r="U4" s="2"/>
      <c r="V4" s="2"/>
    </row>
    <row r="5" spans="1:22" ht="14.25" customHeight="1">
      <c r="A5" s="9"/>
      <c r="B5" s="10"/>
      <c r="C5" s="10"/>
      <c r="D5" s="10"/>
      <c r="E5" s="10"/>
      <c r="F5" s="10"/>
      <c r="G5" s="10"/>
      <c r="H5" s="10"/>
      <c r="I5" s="10"/>
      <c r="J5" s="10"/>
      <c r="K5" s="10"/>
      <c r="L5" s="10"/>
      <c r="M5" s="11"/>
      <c r="N5" s="2"/>
      <c r="O5" s="2"/>
      <c r="P5" s="2"/>
      <c r="Q5" s="2"/>
      <c r="R5" s="2"/>
      <c r="S5" s="2"/>
      <c r="T5" s="2"/>
      <c r="U5" s="2"/>
      <c r="V5" s="2"/>
    </row>
    <row r="6" spans="1:22" ht="14.25" customHeight="1">
      <c r="A6" s="9"/>
      <c r="B6" s="10"/>
      <c r="C6" s="10"/>
      <c r="D6" s="10"/>
      <c r="E6" s="10"/>
      <c r="F6" s="10"/>
      <c r="G6" s="10"/>
      <c r="H6" s="10"/>
      <c r="I6" s="10"/>
      <c r="J6" s="10"/>
      <c r="K6" s="10"/>
      <c r="L6" s="10"/>
      <c r="M6" s="11"/>
      <c r="N6" s="2"/>
      <c r="O6" s="2"/>
      <c r="P6" s="2"/>
      <c r="Q6" s="2"/>
      <c r="R6" s="2"/>
      <c r="S6" s="2"/>
      <c r="T6" s="2"/>
      <c r="U6" s="2"/>
      <c r="V6" s="2"/>
    </row>
    <row r="7" spans="1:22" ht="14.25" customHeight="1">
      <c r="A7" s="9"/>
      <c r="B7" s="10"/>
      <c r="C7" s="10"/>
      <c r="D7" s="10"/>
      <c r="E7" s="10"/>
      <c r="F7" s="10"/>
      <c r="G7" s="10"/>
      <c r="H7" s="10"/>
      <c r="I7" s="10"/>
      <c r="J7" s="10"/>
      <c r="K7" s="10"/>
      <c r="L7" s="10"/>
      <c r="M7" s="11"/>
      <c r="N7" s="2"/>
      <c r="O7" s="2"/>
      <c r="P7" s="2"/>
      <c r="Q7" s="2"/>
      <c r="R7" s="2"/>
      <c r="S7" s="2"/>
      <c r="T7" s="2"/>
      <c r="U7" s="2"/>
      <c r="V7" s="2"/>
    </row>
    <row r="8" spans="1:22" ht="14.25" customHeight="1">
      <c r="A8" s="9"/>
      <c r="B8" s="10"/>
      <c r="C8" s="10"/>
      <c r="D8" s="10"/>
      <c r="E8" s="10"/>
      <c r="F8" s="10"/>
      <c r="G8" s="10"/>
      <c r="H8" s="10"/>
      <c r="I8" s="10"/>
      <c r="J8" s="10"/>
      <c r="K8" s="10"/>
      <c r="L8" s="10"/>
      <c r="M8" s="11"/>
      <c r="N8" s="2"/>
      <c r="O8" s="2"/>
      <c r="P8" s="2"/>
      <c r="Q8" s="2"/>
      <c r="R8" s="2"/>
      <c r="S8" s="2"/>
      <c r="T8" s="2"/>
      <c r="U8" s="2"/>
      <c r="V8" s="2"/>
    </row>
    <row r="9" spans="1:22" ht="14.25" customHeight="1">
      <c r="A9" s="9"/>
      <c r="B9" s="10"/>
      <c r="C9" s="10"/>
      <c r="D9" s="10"/>
      <c r="E9" s="10"/>
      <c r="F9" s="10"/>
      <c r="G9" s="10"/>
      <c r="H9" s="10"/>
      <c r="I9" s="10"/>
      <c r="J9" s="10"/>
      <c r="K9" s="10"/>
      <c r="L9" s="10"/>
      <c r="M9" s="11"/>
      <c r="N9" s="2"/>
      <c r="O9" s="2"/>
      <c r="P9" s="2"/>
      <c r="Q9" s="2"/>
      <c r="R9" s="2"/>
      <c r="S9" s="2"/>
      <c r="T9" s="2"/>
      <c r="U9" s="2"/>
      <c r="V9" s="2"/>
    </row>
    <row r="10" spans="1:22" ht="14.25" customHeight="1">
      <c r="A10" s="9"/>
      <c r="B10" s="10"/>
      <c r="C10" s="10"/>
      <c r="D10" s="10"/>
      <c r="E10" s="10"/>
      <c r="F10" s="10"/>
      <c r="G10" s="10"/>
      <c r="H10" s="10"/>
      <c r="I10" s="10"/>
      <c r="J10" s="10"/>
      <c r="K10" s="10"/>
      <c r="L10" s="10"/>
      <c r="M10" s="11"/>
      <c r="N10" s="2"/>
      <c r="O10" s="2"/>
      <c r="P10" s="2"/>
      <c r="Q10" s="2"/>
      <c r="R10" s="2"/>
      <c r="S10" s="2"/>
      <c r="T10" s="2"/>
      <c r="U10" s="2"/>
      <c r="V10" s="2"/>
    </row>
    <row r="11" spans="1:22" ht="14.25" customHeight="1">
      <c r="A11" s="9"/>
      <c r="B11" s="10"/>
      <c r="C11" s="10"/>
      <c r="D11" s="10"/>
      <c r="E11" s="10"/>
      <c r="F11" s="10"/>
      <c r="G11" s="10"/>
      <c r="H11" s="10"/>
      <c r="I11" s="10"/>
      <c r="J11" s="10"/>
      <c r="K11" s="10"/>
      <c r="L11" s="10"/>
      <c r="M11" s="11"/>
      <c r="N11" s="2"/>
      <c r="O11" s="2"/>
      <c r="P11" s="2"/>
      <c r="Q11" s="2"/>
      <c r="R11" s="2"/>
      <c r="S11" s="2"/>
      <c r="T11" s="2"/>
      <c r="U11" s="2"/>
      <c r="V11" s="2"/>
    </row>
    <row r="12" spans="1:22" ht="14.25" customHeight="1">
      <c r="A12" s="9"/>
      <c r="B12" s="10"/>
      <c r="C12" s="10"/>
      <c r="D12" s="10"/>
      <c r="E12" s="10"/>
      <c r="F12" s="10"/>
      <c r="G12" s="10"/>
      <c r="H12" s="10"/>
      <c r="I12" s="10"/>
      <c r="J12" s="10"/>
      <c r="K12" s="10"/>
      <c r="L12" s="10"/>
      <c r="M12" s="11"/>
      <c r="N12" s="2"/>
      <c r="O12" s="2"/>
      <c r="P12" s="2"/>
      <c r="Q12" s="2"/>
      <c r="R12" s="2"/>
      <c r="S12" s="2"/>
      <c r="T12" s="2"/>
      <c r="U12" s="2"/>
      <c r="V12" s="2"/>
    </row>
    <row r="13" spans="1:22" ht="14.25" customHeight="1">
      <c r="A13" s="9"/>
      <c r="B13" s="10"/>
      <c r="C13" s="10"/>
      <c r="D13" s="10"/>
      <c r="E13" s="10"/>
      <c r="F13" s="10"/>
      <c r="G13" s="10"/>
      <c r="H13" s="10"/>
      <c r="I13" s="10"/>
      <c r="J13" s="10"/>
      <c r="K13" s="10"/>
      <c r="L13" s="10"/>
      <c r="M13" s="11"/>
      <c r="N13" s="2"/>
      <c r="O13" s="2"/>
      <c r="P13" s="2"/>
      <c r="Q13" s="2"/>
      <c r="R13" s="2"/>
      <c r="S13" s="2"/>
      <c r="T13" s="2"/>
      <c r="U13" s="2"/>
      <c r="V13" s="2"/>
    </row>
    <row r="14" spans="1:22" ht="14.25" customHeight="1">
      <c r="A14" s="9"/>
      <c r="B14" s="10"/>
      <c r="C14" s="10"/>
      <c r="D14" s="10"/>
      <c r="E14" s="10"/>
      <c r="F14" s="10"/>
      <c r="G14" s="10"/>
      <c r="H14" s="10"/>
      <c r="I14" s="10"/>
      <c r="J14" s="10"/>
      <c r="K14" s="10"/>
      <c r="L14" s="10"/>
      <c r="M14" s="11"/>
      <c r="N14" s="2"/>
      <c r="O14" s="2"/>
      <c r="P14" s="2"/>
      <c r="Q14" s="2"/>
      <c r="R14" s="2"/>
      <c r="S14" s="2"/>
      <c r="T14" s="2"/>
      <c r="U14" s="2"/>
      <c r="V14" s="2"/>
    </row>
    <row r="15" spans="1:22" ht="14.25" customHeight="1">
      <c r="A15" s="9"/>
      <c r="B15" s="10"/>
      <c r="C15" s="10"/>
      <c r="D15" s="10"/>
      <c r="E15" s="10"/>
      <c r="F15" s="10"/>
      <c r="G15" s="10"/>
      <c r="H15" s="10"/>
      <c r="I15" s="10"/>
      <c r="J15" s="10"/>
      <c r="K15" s="10"/>
      <c r="L15" s="10"/>
      <c r="M15" s="11"/>
      <c r="N15" s="2"/>
      <c r="O15" s="2"/>
      <c r="P15" s="2"/>
      <c r="Q15" s="2"/>
      <c r="R15" s="2"/>
      <c r="S15" s="2"/>
      <c r="T15" s="2"/>
      <c r="U15" s="2"/>
      <c r="V15" s="2"/>
    </row>
    <row r="16" spans="1:22" ht="14.25" customHeight="1">
      <c r="A16" s="9"/>
      <c r="B16" s="10"/>
      <c r="C16" s="10"/>
      <c r="D16" s="10"/>
      <c r="E16" s="10"/>
      <c r="F16" s="10"/>
      <c r="G16" s="10"/>
      <c r="H16" s="10"/>
      <c r="I16" s="10"/>
      <c r="J16" s="10"/>
      <c r="K16" s="10"/>
      <c r="L16" s="10"/>
      <c r="M16" s="11"/>
      <c r="N16" s="2"/>
      <c r="O16" s="2"/>
      <c r="P16" s="2"/>
      <c r="Q16" s="2"/>
      <c r="R16" s="2"/>
      <c r="S16" s="2"/>
      <c r="T16" s="2"/>
      <c r="U16" s="2"/>
      <c r="V16" s="2"/>
    </row>
    <row r="17" spans="1:22" ht="14.25" customHeight="1">
      <c r="A17" s="9"/>
      <c r="B17" s="10"/>
      <c r="C17" s="10"/>
      <c r="D17" s="10"/>
      <c r="E17" s="10"/>
      <c r="F17" s="10"/>
      <c r="G17" s="10"/>
      <c r="H17" s="10"/>
      <c r="I17" s="10"/>
      <c r="J17" s="10"/>
      <c r="K17" s="10"/>
      <c r="L17" s="10"/>
      <c r="M17" s="11"/>
      <c r="N17" s="2"/>
      <c r="O17" s="2"/>
      <c r="P17" s="2"/>
      <c r="Q17" s="2"/>
      <c r="R17" s="2"/>
      <c r="S17" s="2"/>
      <c r="T17" s="2"/>
      <c r="U17" s="2"/>
      <c r="V17" s="2"/>
    </row>
    <row r="18" spans="1:22" ht="14.25" customHeight="1">
      <c r="A18" s="9"/>
      <c r="B18" s="10"/>
      <c r="C18" s="10"/>
      <c r="D18" s="10"/>
      <c r="E18" s="10"/>
      <c r="F18" s="10"/>
      <c r="G18" s="10"/>
      <c r="H18" s="10"/>
      <c r="I18" s="10"/>
      <c r="J18" s="10"/>
      <c r="K18" s="10"/>
      <c r="L18" s="10"/>
      <c r="M18" s="11"/>
      <c r="N18" s="2"/>
      <c r="O18" s="2"/>
      <c r="P18" s="2"/>
      <c r="Q18" s="2"/>
      <c r="R18" s="2"/>
      <c r="S18" s="2"/>
      <c r="T18" s="2"/>
      <c r="U18" s="2"/>
      <c r="V18" s="2"/>
    </row>
    <row r="19" spans="1:22" ht="14.25" customHeight="1">
      <c r="A19" s="9"/>
      <c r="B19" s="10"/>
      <c r="C19" s="10"/>
      <c r="D19" s="10"/>
      <c r="E19" s="10"/>
      <c r="F19" s="10"/>
      <c r="G19" s="10"/>
      <c r="H19" s="10"/>
      <c r="I19" s="10"/>
      <c r="J19" s="10"/>
      <c r="K19" s="10"/>
      <c r="L19" s="10"/>
      <c r="M19" s="11"/>
      <c r="N19" s="2"/>
      <c r="O19" s="2"/>
      <c r="P19" s="2"/>
      <c r="Q19" s="2"/>
      <c r="R19" s="2"/>
      <c r="S19" s="2"/>
      <c r="T19" s="2"/>
      <c r="U19" s="2"/>
      <c r="V19" s="2"/>
    </row>
    <row r="20" spans="1:22" ht="14.25" customHeight="1">
      <c r="A20" s="9"/>
      <c r="B20" s="10"/>
      <c r="C20" s="10"/>
      <c r="D20" s="10"/>
      <c r="E20" s="10"/>
      <c r="F20" s="10"/>
      <c r="G20" s="10"/>
      <c r="H20" s="10"/>
      <c r="I20" s="10"/>
      <c r="J20" s="10"/>
      <c r="K20" s="10"/>
      <c r="L20" s="10"/>
      <c r="M20" s="11"/>
      <c r="N20" s="2"/>
      <c r="O20" s="2"/>
      <c r="P20" s="2"/>
      <c r="Q20" s="2"/>
      <c r="R20" s="2"/>
      <c r="S20" s="2"/>
      <c r="T20" s="2"/>
      <c r="U20" s="2"/>
      <c r="V20" s="2"/>
    </row>
    <row r="21" spans="1:22" ht="14.25" customHeight="1">
      <c r="A21" s="9"/>
      <c r="B21" s="10"/>
      <c r="C21" s="10"/>
      <c r="D21" s="10"/>
      <c r="E21" s="10"/>
      <c r="F21" s="10"/>
      <c r="G21" s="10"/>
      <c r="H21" s="10"/>
      <c r="I21" s="10"/>
      <c r="J21" s="10"/>
      <c r="K21" s="10"/>
      <c r="L21" s="10"/>
      <c r="M21" s="11"/>
      <c r="N21" s="2"/>
      <c r="O21" s="2"/>
      <c r="P21" s="2"/>
      <c r="Q21" s="2"/>
      <c r="R21" s="2"/>
      <c r="S21" s="2"/>
      <c r="T21" s="2"/>
      <c r="U21" s="2"/>
      <c r="V21" s="2"/>
    </row>
    <row r="22" spans="1:22" ht="14.25" customHeight="1">
      <c r="A22" s="9"/>
      <c r="B22" s="10"/>
      <c r="C22" s="10"/>
      <c r="D22" s="10"/>
      <c r="E22" s="10"/>
      <c r="F22" s="10"/>
      <c r="G22" s="10"/>
      <c r="H22" s="10"/>
      <c r="I22" s="10"/>
      <c r="J22" s="10"/>
      <c r="K22" s="10"/>
      <c r="L22" s="10"/>
      <c r="M22" s="11"/>
      <c r="N22" s="2"/>
      <c r="O22" s="2"/>
      <c r="P22" s="2"/>
      <c r="Q22" s="2"/>
      <c r="R22" s="2"/>
      <c r="S22" s="2"/>
      <c r="T22" s="2"/>
      <c r="U22" s="2"/>
      <c r="V22" s="2"/>
    </row>
    <row r="23" spans="1:22" ht="14.25" customHeight="1">
      <c r="A23" s="9"/>
      <c r="B23" s="10"/>
      <c r="C23" s="10"/>
      <c r="D23" s="10"/>
      <c r="E23" s="10"/>
      <c r="F23" s="10"/>
      <c r="G23" s="10"/>
      <c r="H23" s="10"/>
      <c r="I23" s="10"/>
      <c r="J23" s="10"/>
      <c r="K23" s="10"/>
      <c r="L23" s="10"/>
      <c r="M23" s="11"/>
      <c r="N23" s="2"/>
      <c r="O23" s="2"/>
      <c r="P23" s="2"/>
      <c r="Q23" s="2"/>
      <c r="R23" s="2"/>
      <c r="S23" s="2"/>
      <c r="T23" s="2"/>
      <c r="U23" s="2"/>
      <c r="V23" s="2"/>
    </row>
    <row r="24" spans="1:22" ht="14.25" customHeight="1">
      <c r="A24" s="9"/>
      <c r="B24" s="10"/>
      <c r="C24" s="10"/>
      <c r="D24" s="10"/>
      <c r="E24" s="10"/>
      <c r="F24" s="10"/>
      <c r="G24" s="10"/>
      <c r="H24" s="10"/>
      <c r="I24" s="10"/>
      <c r="J24" s="10"/>
      <c r="K24" s="10"/>
      <c r="L24" s="10"/>
      <c r="M24" s="11"/>
      <c r="N24" s="2"/>
      <c r="O24" s="2"/>
      <c r="P24" s="2"/>
      <c r="Q24" s="2"/>
      <c r="R24" s="2"/>
      <c r="S24" s="2"/>
      <c r="T24" s="2"/>
      <c r="U24" s="2"/>
      <c r="V24" s="2"/>
    </row>
    <row r="25" spans="1:22" ht="14.25" customHeight="1">
      <c r="A25" s="9"/>
      <c r="B25" s="10"/>
      <c r="C25" s="10"/>
      <c r="D25" s="10"/>
      <c r="E25" s="10"/>
      <c r="F25" s="10"/>
      <c r="G25" s="10"/>
      <c r="H25" s="10"/>
      <c r="I25" s="10"/>
      <c r="J25" s="10"/>
      <c r="K25" s="10"/>
      <c r="L25" s="10"/>
      <c r="M25" s="11"/>
      <c r="N25" s="2"/>
      <c r="O25" s="2"/>
      <c r="P25" s="2"/>
      <c r="Q25" s="2"/>
      <c r="R25" s="2"/>
      <c r="S25" s="2"/>
      <c r="T25" s="2"/>
      <c r="U25" s="2"/>
      <c r="V25" s="2"/>
    </row>
    <row r="26" spans="1:22" ht="14.25" customHeight="1">
      <c r="A26" s="9"/>
      <c r="B26" s="10"/>
      <c r="C26" s="10"/>
      <c r="D26" s="10"/>
      <c r="E26" s="10"/>
      <c r="F26" s="10"/>
      <c r="G26" s="10"/>
      <c r="H26" s="10"/>
      <c r="I26" s="10"/>
      <c r="J26" s="10"/>
      <c r="K26" s="10"/>
      <c r="L26" s="10"/>
      <c r="M26" s="11"/>
      <c r="N26" s="2"/>
      <c r="O26" s="2"/>
      <c r="P26" s="2"/>
      <c r="Q26" s="2"/>
      <c r="R26" s="2"/>
      <c r="S26" s="2"/>
      <c r="T26" s="2"/>
      <c r="U26" s="2"/>
      <c r="V26" s="2"/>
    </row>
    <row r="27" spans="1:22" ht="14.25" customHeight="1">
      <c r="A27" s="9"/>
      <c r="B27" s="10"/>
      <c r="C27" s="10"/>
      <c r="D27" s="10"/>
      <c r="E27" s="10"/>
      <c r="F27" s="10"/>
      <c r="G27" s="10"/>
      <c r="H27" s="10"/>
      <c r="I27" s="10"/>
      <c r="J27" s="10"/>
      <c r="K27" s="10"/>
      <c r="L27" s="10"/>
      <c r="M27" s="11"/>
      <c r="N27" s="2"/>
      <c r="O27" s="2"/>
      <c r="P27" s="2"/>
      <c r="Q27" s="2"/>
      <c r="R27" s="2"/>
      <c r="S27" s="2"/>
      <c r="T27" s="2"/>
      <c r="U27" s="2"/>
      <c r="V27" s="2"/>
    </row>
    <row r="28" spans="1:22" ht="14.25" customHeight="1">
      <c r="A28" s="9"/>
      <c r="B28" s="10"/>
      <c r="C28" s="10"/>
      <c r="D28" s="10"/>
      <c r="E28" s="10"/>
      <c r="F28" s="10"/>
      <c r="G28" s="10"/>
      <c r="H28" s="10"/>
      <c r="I28" s="10"/>
      <c r="J28" s="10"/>
      <c r="K28" s="10"/>
      <c r="L28" s="10"/>
      <c r="M28" s="11"/>
      <c r="N28" s="2"/>
      <c r="O28" s="2"/>
      <c r="P28" s="2"/>
      <c r="Q28" s="2"/>
      <c r="R28" s="2"/>
      <c r="S28" s="2"/>
      <c r="T28" s="2"/>
      <c r="U28" s="2"/>
      <c r="V28" s="2"/>
    </row>
    <row r="29" spans="1:22" ht="14.25" customHeight="1">
      <c r="A29" s="9"/>
      <c r="B29" s="10"/>
      <c r="C29" s="10"/>
      <c r="D29" s="10"/>
      <c r="E29" s="10"/>
      <c r="F29" s="10"/>
      <c r="G29" s="10"/>
      <c r="H29" s="10"/>
      <c r="I29" s="10"/>
      <c r="J29" s="10"/>
      <c r="K29" s="10"/>
      <c r="L29" s="10"/>
      <c r="M29" s="11"/>
      <c r="N29" s="2"/>
      <c r="O29" s="2"/>
      <c r="P29" s="2"/>
      <c r="Q29" s="2"/>
      <c r="R29" s="2"/>
      <c r="S29" s="2"/>
      <c r="T29" s="2"/>
      <c r="U29" s="2"/>
      <c r="V29" s="2"/>
    </row>
    <row r="30" spans="1:22" ht="14.25" customHeight="1">
      <c r="A30" s="9"/>
      <c r="B30" s="10"/>
      <c r="C30" s="10"/>
      <c r="D30" s="10"/>
      <c r="E30" s="10"/>
      <c r="F30" s="10"/>
      <c r="G30" s="10"/>
      <c r="H30" s="10"/>
      <c r="I30" s="10"/>
      <c r="J30" s="10"/>
      <c r="K30" s="10"/>
      <c r="L30" s="10"/>
      <c r="M30" s="11"/>
      <c r="N30" s="2"/>
      <c r="O30" s="2"/>
      <c r="P30" s="2"/>
      <c r="Q30" s="2"/>
      <c r="R30" s="2"/>
      <c r="S30" s="2"/>
      <c r="T30" s="2"/>
      <c r="U30" s="2"/>
      <c r="V30" s="2"/>
    </row>
    <row r="31" spans="1:22" ht="14.25" customHeight="1">
      <c r="A31" s="9"/>
      <c r="B31" s="10"/>
      <c r="C31" s="10"/>
      <c r="D31" s="10"/>
      <c r="E31" s="10"/>
      <c r="F31" s="10"/>
      <c r="G31" s="10"/>
      <c r="H31" s="10"/>
      <c r="I31" s="10"/>
      <c r="J31" s="10"/>
      <c r="K31" s="10"/>
      <c r="L31" s="10"/>
      <c r="M31" s="11"/>
      <c r="N31" s="2"/>
      <c r="O31" s="2"/>
      <c r="P31" s="2"/>
      <c r="Q31" s="2"/>
      <c r="R31" s="2"/>
      <c r="S31" s="2"/>
      <c r="T31" s="2"/>
      <c r="U31" s="2"/>
      <c r="V31" s="2"/>
    </row>
    <row r="32" spans="1:22" ht="14.25" customHeight="1">
      <c r="A32" s="9"/>
      <c r="B32" s="10"/>
      <c r="C32" s="10"/>
      <c r="D32" s="10"/>
      <c r="E32" s="10"/>
      <c r="F32" s="10"/>
      <c r="G32" s="10"/>
      <c r="H32" s="10"/>
      <c r="I32" s="10"/>
      <c r="J32" s="10"/>
      <c r="K32" s="10"/>
      <c r="L32" s="10"/>
      <c r="M32" s="11"/>
      <c r="N32" s="2"/>
      <c r="O32" s="2"/>
      <c r="P32" s="2"/>
      <c r="Q32" s="2"/>
      <c r="R32" s="2"/>
      <c r="S32" s="2"/>
      <c r="T32" s="2"/>
      <c r="U32" s="2"/>
      <c r="V32" s="2"/>
    </row>
    <row r="33" spans="1:22" ht="14.25" customHeight="1">
      <c r="A33" s="9"/>
      <c r="B33" s="10"/>
      <c r="C33" s="10"/>
      <c r="D33" s="10"/>
      <c r="E33" s="10"/>
      <c r="F33" s="10"/>
      <c r="G33" s="10"/>
      <c r="H33" s="10"/>
      <c r="I33" s="10"/>
      <c r="J33" s="10"/>
      <c r="K33" s="10"/>
      <c r="L33" s="10"/>
      <c r="M33" s="11"/>
      <c r="N33" s="2"/>
      <c r="O33" s="2"/>
      <c r="P33" s="2"/>
      <c r="Q33" s="2"/>
      <c r="R33" s="2"/>
      <c r="S33" s="2"/>
      <c r="T33" s="2"/>
      <c r="U33" s="2"/>
      <c r="V33" s="2"/>
    </row>
    <row r="34" spans="1:22" ht="14.25" customHeight="1">
      <c r="A34" s="9"/>
      <c r="B34" s="10"/>
      <c r="C34" s="10"/>
      <c r="D34" s="10"/>
      <c r="E34" s="10"/>
      <c r="F34" s="10"/>
      <c r="G34" s="10"/>
      <c r="H34" s="10"/>
      <c r="I34" s="10"/>
      <c r="J34" s="10"/>
      <c r="K34" s="10"/>
      <c r="L34" s="10"/>
      <c r="M34" s="11"/>
      <c r="N34" s="2"/>
      <c r="O34" s="2"/>
      <c r="P34" s="2"/>
      <c r="Q34" s="2"/>
      <c r="R34" s="2"/>
      <c r="S34" s="2"/>
      <c r="T34" s="2"/>
      <c r="U34" s="2"/>
      <c r="V34" s="2"/>
    </row>
    <row r="35" spans="1:22" ht="14.25" customHeight="1">
      <c r="A35" s="9"/>
      <c r="B35" s="10"/>
      <c r="C35" s="10"/>
      <c r="D35" s="10"/>
      <c r="E35" s="10"/>
      <c r="F35" s="10"/>
      <c r="G35" s="10"/>
      <c r="H35" s="10"/>
      <c r="I35" s="10"/>
      <c r="J35" s="10"/>
      <c r="K35" s="10"/>
      <c r="L35" s="10"/>
      <c r="M35" s="11"/>
      <c r="N35" s="2"/>
      <c r="O35" s="2"/>
      <c r="P35" s="2"/>
      <c r="Q35" s="2"/>
      <c r="R35" s="2"/>
      <c r="S35" s="2"/>
      <c r="T35" s="2"/>
      <c r="U35" s="2"/>
      <c r="V35" s="2"/>
    </row>
    <row r="36" spans="1:22" ht="14.25" customHeight="1">
      <c r="A36" s="9"/>
      <c r="B36" s="10"/>
      <c r="C36" s="10"/>
      <c r="D36" s="10"/>
      <c r="E36" s="10"/>
      <c r="F36" s="10"/>
      <c r="G36" s="10"/>
      <c r="H36" s="10"/>
      <c r="I36" s="10"/>
      <c r="J36" s="10"/>
      <c r="K36" s="10"/>
      <c r="L36" s="10"/>
      <c r="M36" s="11"/>
      <c r="N36" s="2"/>
      <c r="O36" s="2"/>
      <c r="P36" s="2"/>
      <c r="Q36" s="2"/>
      <c r="R36" s="2"/>
      <c r="S36" s="2"/>
      <c r="T36" s="2"/>
      <c r="U36" s="2"/>
      <c r="V36" s="2"/>
    </row>
    <row r="37" spans="1:22" ht="14.25" customHeight="1">
      <c r="A37" s="9"/>
      <c r="B37" s="10"/>
      <c r="C37" s="10"/>
      <c r="D37" s="10"/>
      <c r="E37" s="10"/>
      <c r="F37" s="10"/>
      <c r="G37" s="10"/>
      <c r="H37" s="10"/>
      <c r="I37" s="10"/>
      <c r="J37" s="10"/>
      <c r="K37" s="10"/>
      <c r="L37" s="10"/>
      <c r="M37" s="11"/>
      <c r="N37" s="2"/>
      <c r="O37" s="2"/>
      <c r="P37" s="2"/>
      <c r="Q37" s="2"/>
      <c r="R37" s="2"/>
      <c r="S37" s="2"/>
      <c r="T37" s="2"/>
      <c r="U37" s="2"/>
      <c r="V37" s="2"/>
    </row>
    <row r="38" spans="1:22" ht="14.25" customHeight="1">
      <c r="A38" s="9"/>
      <c r="B38" s="10"/>
      <c r="C38" s="10"/>
      <c r="D38" s="10"/>
      <c r="E38" s="10"/>
      <c r="F38" s="10"/>
      <c r="G38" s="10"/>
      <c r="H38" s="10"/>
      <c r="I38" s="10"/>
      <c r="J38" s="10"/>
      <c r="K38" s="10"/>
      <c r="L38" s="10"/>
      <c r="M38" s="11"/>
      <c r="N38" s="2"/>
      <c r="O38" s="2"/>
      <c r="P38" s="2"/>
      <c r="Q38" s="2"/>
      <c r="R38" s="2"/>
      <c r="S38" s="2"/>
      <c r="T38" s="2"/>
      <c r="U38" s="2"/>
      <c r="V38" s="2"/>
    </row>
    <row r="39" spans="1:22" ht="14.25" customHeight="1">
      <c r="A39" s="9"/>
      <c r="B39" s="10"/>
      <c r="C39" s="10"/>
      <c r="D39" s="10"/>
      <c r="E39" s="10"/>
      <c r="F39" s="10"/>
      <c r="G39" s="10"/>
      <c r="H39" s="10"/>
      <c r="I39" s="10"/>
      <c r="J39" s="10"/>
      <c r="K39" s="10"/>
      <c r="L39" s="10"/>
      <c r="M39" s="11"/>
      <c r="N39" s="2"/>
      <c r="O39" s="2"/>
      <c r="P39" s="2"/>
      <c r="Q39" s="2"/>
      <c r="R39" s="2"/>
      <c r="S39" s="2"/>
      <c r="T39" s="2"/>
      <c r="U39" s="2"/>
      <c r="V39" s="2"/>
    </row>
    <row r="40" spans="1:22" ht="14.25" customHeight="1">
      <c r="A40" s="9"/>
      <c r="B40" s="10"/>
      <c r="C40" s="10"/>
      <c r="D40" s="10"/>
      <c r="E40" s="10"/>
      <c r="F40" s="10"/>
      <c r="G40" s="10"/>
      <c r="H40" s="10"/>
      <c r="I40" s="10"/>
      <c r="J40" s="10"/>
      <c r="K40" s="10"/>
      <c r="L40" s="10"/>
      <c r="M40" s="11"/>
      <c r="N40" s="2"/>
      <c r="O40" s="2"/>
      <c r="P40" s="2"/>
      <c r="Q40" s="2"/>
      <c r="R40" s="2"/>
      <c r="S40" s="2"/>
      <c r="T40" s="2"/>
      <c r="U40" s="2"/>
      <c r="V40" s="2"/>
    </row>
    <row r="41" spans="1:22" ht="14.25" customHeight="1">
      <c r="A41" s="9"/>
      <c r="B41" s="10"/>
      <c r="C41" s="10"/>
      <c r="D41" s="10"/>
      <c r="E41" s="10"/>
      <c r="F41" s="10"/>
      <c r="G41" s="10"/>
      <c r="H41" s="10"/>
      <c r="I41" s="10"/>
      <c r="J41" s="10"/>
      <c r="K41" s="10"/>
      <c r="L41" s="10"/>
      <c r="M41" s="11"/>
      <c r="N41" s="2"/>
      <c r="O41" s="2"/>
      <c r="P41" s="2"/>
      <c r="Q41" s="2"/>
      <c r="R41" s="2"/>
      <c r="S41" s="2"/>
      <c r="T41" s="2"/>
      <c r="U41" s="2"/>
      <c r="V41" s="2"/>
    </row>
    <row r="42" spans="1:22" ht="14.25" customHeight="1">
      <c r="A42" s="9"/>
      <c r="B42" s="10"/>
      <c r="C42" s="10"/>
      <c r="D42" s="10"/>
      <c r="E42" s="10"/>
      <c r="F42" s="10"/>
      <c r="G42" s="10"/>
      <c r="H42" s="10"/>
      <c r="I42" s="10"/>
      <c r="J42" s="10"/>
      <c r="K42" s="10"/>
      <c r="L42" s="10"/>
      <c r="M42" s="11"/>
      <c r="N42" s="2"/>
      <c r="O42" s="2"/>
      <c r="P42" s="2"/>
      <c r="Q42" s="2"/>
      <c r="R42" s="2"/>
      <c r="S42" s="2"/>
      <c r="T42" s="2"/>
      <c r="U42" s="2"/>
      <c r="V42" s="2"/>
    </row>
    <row r="43" spans="1:22" ht="14.25" customHeight="1">
      <c r="A43" s="9"/>
      <c r="B43" s="10"/>
      <c r="C43" s="10"/>
      <c r="D43" s="10"/>
      <c r="E43" s="10"/>
      <c r="F43" s="10"/>
      <c r="G43" s="10"/>
      <c r="H43" s="10"/>
      <c r="I43" s="10"/>
      <c r="J43" s="10"/>
      <c r="K43" s="10"/>
      <c r="L43" s="10"/>
      <c r="M43" s="11"/>
      <c r="N43" s="2"/>
      <c r="O43" s="2"/>
      <c r="P43" s="2"/>
      <c r="Q43" s="2"/>
      <c r="R43" s="2"/>
      <c r="S43" s="2"/>
      <c r="T43" s="2"/>
      <c r="U43" s="2"/>
      <c r="V43" s="2"/>
    </row>
    <row r="44" spans="1:22" ht="14.25" customHeight="1">
      <c r="A44" s="9"/>
      <c r="B44" s="10"/>
      <c r="C44" s="10"/>
      <c r="D44" s="10"/>
      <c r="E44" s="10"/>
      <c r="F44" s="10"/>
      <c r="G44" s="10"/>
      <c r="H44" s="10"/>
      <c r="I44" s="10"/>
      <c r="J44" s="10"/>
      <c r="K44" s="10"/>
      <c r="L44" s="10"/>
      <c r="M44" s="11"/>
      <c r="N44" s="2"/>
      <c r="O44" s="2"/>
      <c r="P44" s="2"/>
      <c r="Q44" s="2"/>
      <c r="R44" s="2"/>
      <c r="S44" s="2"/>
      <c r="T44" s="2"/>
      <c r="U44" s="2"/>
      <c r="V44" s="2"/>
    </row>
    <row r="45" spans="1:22" ht="14.25" customHeight="1">
      <c r="A45" s="9"/>
      <c r="B45" s="10"/>
      <c r="C45" s="10"/>
      <c r="D45" s="10"/>
      <c r="E45" s="10"/>
      <c r="F45" s="10"/>
      <c r="G45" s="10"/>
      <c r="H45" s="10"/>
      <c r="I45" s="10"/>
      <c r="J45" s="10"/>
      <c r="K45" s="10"/>
      <c r="L45" s="10"/>
      <c r="M45" s="11"/>
      <c r="N45" s="2"/>
      <c r="O45" s="2"/>
      <c r="P45" s="2"/>
      <c r="Q45" s="2"/>
      <c r="R45" s="2"/>
      <c r="S45" s="2"/>
      <c r="T45" s="2"/>
      <c r="U45" s="2"/>
      <c r="V45" s="2"/>
    </row>
    <row r="46" spans="1:22" ht="14.25" customHeight="1">
      <c r="A46" s="9"/>
      <c r="B46" s="10"/>
      <c r="C46" s="10"/>
      <c r="D46" s="10"/>
      <c r="E46" s="10"/>
      <c r="F46" s="10"/>
      <c r="G46" s="10"/>
      <c r="H46" s="10"/>
      <c r="I46" s="10"/>
      <c r="J46" s="10"/>
      <c r="K46" s="10"/>
      <c r="L46" s="10"/>
      <c r="M46" s="11"/>
      <c r="N46" s="2"/>
      <c r="O46" s="2"/>
      <c r="P46" s="2"/>
      <c r="Q46" s="2"/>
      <c r="R46" s="2"/>
      <c r="S46" s="2"/>
      <c r="T46" s="2"/>
      <c r="U46" s="2"/>
      <c r="V46" s="2"/>
    </row>
    <row r="47" spans="1:22" ht="14.25" customHeight="1">
      <c r="A47" s="9"/>
      <c r="B47" s="10"/>
      <c r="C47" s="10"/>
      <c r="D47" s="10"/>
      <c r="E47" s="10"/>
      <c r="F47" s="10"/>
      <c r="G47" s="10"/>
      <c r="H47" s="10"/>
      <c r="I47" s="10"/>
      <c r="J47" s="10"/>
      <c r="K47" s="10"/>
      <c r="L47" s="10"/>
      <c r="M47" s="11"/>
      <c r="N47" s="2"/>
      <c r="O47" s="2"/>
      <c r="P47" s="2"/>
      <c r="Q47" s="2"/>
      <c r="R47" s="2"/>
      <c r="S47" s="2"/>
      <c r="T47" s="2"/>
      <c r="U47" s="2"/>
      <c r="V47" s="2"/>
    </row>
    <row r="48" spans="1:22" ht="14.25" customHeight="1">
      <c r="A48" s="9"/>
      <c r="B48" s="10"/>
      <c r="C48" s="10"/>
      <c r="D48" s="10"/>
      <c r="E48" s="10"/>
      <c r="F48" s="10"/>
      <c r="G48" s="10"/>
      <c r="H48" s="10"/>
      <c r="I48" s="10"/>
      <c r="J48" s="10"/>
      <c r="K48" s="10"/>
      <c r="L48" s="10"/>
      <c r="M48" s="11"/>
      <c r="N48" s="2"/>
      <c r="O48" s="2"/>
      <c r="P48" s="2"/>
      <c r="Q48" s="2"/>
      <c r="R48" s="2"/>
      <c r="S48" s="2"/>
      <c r="T48" s="2"/>
      <c r="U48" s="2"/>
      <c r="V48" s="2"/>
    </row>
    <row r="49" spans="1:22" ht="14.25" customHeight="1">
      <c r="A49" s="9"/>
      <c r="B49" s="10"/>
      <c r="C49" s="10"/>
      <c r="D49" s="10"/>
      <c r="E49" s="10"/>
      <c r="F49" s="10"/>
      <c r="G49" s="10"/>
      <c r="H49" s="10"/>
      <c r="I49" s="10"/>
      <c r="J49" s="10"/>
      <c r="K49" s="10"/>
      <c r="L49" s="10"/>
      <c r="M49" s="11"/>
      <c r="N49" s="2"/>
      <c r="O49" s="2"/>
      <c r="P49" s="2"/>
      <c r="Q49" s="2"/>
      <c r="R49" s="2"/>
      <c r="S49" s="2"/>
      <c r="T49" s="2"/>
      <c r="U49" s="2"/>
      <c r="V49" s="2"/>
    </row>
    <row r="50" spans="1:22" ht="14.25" customHeight="1">
      <c r="A50" s="9"/>
      <c r="B50" s="10"/>
      <c r="C50" s="10"/>
      <c r="D50" s="10"/>
      <c r="E50" s="10"/>
      <c r="F50" s="10"/>
      <c r="G50" s="10"/>
      <c r="H50" s="10"/>
      <c r="I50" s="10"/>
      <c r="J50" s="10"/>
      <c r="K50" s="10"/>
      <c r="L50" s="10"/>
      <c r="M50" s="11"/>
      <c r="N50" s="2"/>
      <c r="O50" s="2"/>
      <c r="P50" s="2"/>
      <c r="Q50" s="2"/>
      <c r="R50" s="2"/>
      <c r="S50" s="2"/>
      <c r="T50" s="2"/>
      <c r="U50" s="2"/>
      <c r="V50" s="2"/>
    </row>
    <row r="51" spans="1:22" ht="14.25" customHeight="1">
      <c r="A51" s="9"/>
      <c r="B51" s="10"/>
      <c r="C51" s="10"/>
      <c r="D51" s="10"/>
      <c r="E51" s="10"/>
      <c r="F51" s="10"/>
      <c r="G51" s="10"/>
      <c r="H51" s="10"/>
      <c r="I51" s="10"/>
      <c r="J51" s="10"/>
      <c r="K51" s="10"/>
      <c r="L51" s="10"/>
      <c r="M51" s="11"/>
      <c r="N51" s="2"/>
      <c r="O51" s="2"/>
      <c r="P51" s="2"/>
      <c r="Q51" s="2"/>
      <c r="R51" s="2"/>
      <c r="S51" s="2"/>
      <c r="T51" s="2"/>
      <c r="U51" s="2"/>
      <c r="V51" s="2"/>
    </row>
    <row r="52" spans="1:22" ht="14.25" customHeight="1">
      <c r="A52" s="9"/>
      <c r="B52" s="10"/>
      <c r="C52" s="10"/>
      <c r="D52" s="10"/>
      <c r="E52" s="10"/>
      <c r="F52" s="10"/>
      <c r="G52" s="10"/>
      <c r="H52" s="10"/>
      <c r="I52" s="10"/>
      <c r="J52" s="10"/>
      <c r="K52" s="10"/>
      <c r="L52" s="10"/>
      <c r="M52" s="11"/>
      <c r="N52" s="2"/>
      <c r="O52" s="2"/>
      <c r="P52" s="2"/>
      <c r="Q52" s="2"/>
      <c r="R52" s="2"/>
      <c r="S52" s="2"/>
      <c r="T52" s="2"/>
      <c r="U52" s="2"/>
      <c r="V52" s="2"/>
    </row>
    <row r="53" spans="1:22" ht="14.25" customHeight="1">
      <c r="A53" s="9"/>
      <c r="B53" s="10"/>
      <c r="C53" s="10"/>
      <c r="D53" s="10"/>
      <c r="E53" s="10"/>
      <c r="F53" s="10"/>
      <c r="G53" s="10"/>
      <c r="H53" s="10"/>
      <c r="I53" s="10"/>
      <c r="J53" s="10"/>
      <c r="K53" s="10"/>
      <c r="L53" s="10"/>
      <c r="M53" s="11"/>
      <c r="N53" s="2"/>
      <c r="O53" s="2"/>
      <c r="P53" s="2"/>
      <c r="Q53" s="2"/>
      <c r="R53" s="2"/>
      <c r="S53" s="2"/>
      <c r="T53" s="2"/>
      <c r="U53" s="2"/>
      <c r="V53" s="2"/>
    </row>
    <row r="54" spans="1:22" ht="14.25" customHeight="1">
      <c r="A54" s="9"/>
      <c r="B54" s="10"/>
      <c r="C54" s="10"/>
      <c r="D54" s="10"/>
      <c r="E54" s="10"/>
      <c r="F54" s="10"/>
      <c r="G54" s="10"/>
      <c r="H54" s="10"/>
      <c r="I54" s="10"/>
      <c r="J54" s="10"/>
      <c r="K54" s="10"/>
      <c r="L54" s="10"/>
      <c r="M54" s="11"/>
      <c r="N54" s="2"/>
      <c r="O54" s="2"/>
      <c r="P54" s="2"/>
      <c r="Q54" s="2"/>
      <c r="R54" s="2"/>
      <c r="S54" s="2"/>
      <c r="T54" s="2"/>
      <c r="U54" s="2"/>
      <c r="V54" s="2"/>
    </row>
    <row r="55" spans="1:22" ht="14.25" customHeight="1">
      <c r="A55" s="9"/>
      <c r="B55" s="10"/>
      <c r="C55" s="10"/>
      <c r="D55" s="10"/>
      <c r="E55" s="10"/>
      <c r="F55" s="10"/>
      <c r="G55" s="10"/>
      <c r="H55" s="10"/>
      <c r="I55" s="10"/>
      <c r="J55" s="10"/>
      <c r="K55" s="10"/>
      <c r="L55" s="10"/>
      <c r="M55" s="11"/>
      <c r="N55" s="2"/>
      <c r="O55" s="2"/>
      <c r="P55" s="2"/>
      <c r="Q55" s="2"/>
      <c r="R55" s="2"/>
      <c r="S55" s="2"/>
      <c r="T55" s="2"/>
      <c r="U55" s="2"/>
      <c r="V55" s="2"/>
    </row>
    <row r="56" spans="1:22" ht="14.25" customHeight="1">
      <c r="A56" s="9"/>
      <c r="B56" s="10"/>
      <c r="C56" s="10"/>
      <c r="D56" s="10"/>
      <c r="E56" s="10"/>
      <c r="F56" s="10"/>
      <c r="G56" s="10"/>
      <c r="H56" s="10"/>
      <c r="I56" s="10"/>
      <c r="J56" s="10"/>
      <c r="K56" s="10"/>
      <c r="L56" s="10"/>
      <c r="M56" s="11"/>
      <c r="N56" s="2"/>
      <c r="O56" s="2"/>
      <c r="P56" s="2"/>
      <c r="Q56" s="2"/>
      <c r="R56" s="2"/>
      <c r="S56" s="2"/>
      <c r="T56" s="2"/>
      <c r="U56" s="2"/>
      <c r="V56" s="2"/>
    </row>
    <row r="57" spans="1:22" ht="14.25" customHeight="1">
      <c r="A57" s="9"/>
      <c r="B57" s="10"/>
      <c r="C57" s="10"/>
      <c r="D57" s="10"/>
      <c r="E57" s="10"/>
      <c r="F57" s="10"/>
      <c r="G57" s="10"/>
      <c r="H57" s="10"/>
      <c r="I57" s="10"/>
      <c r="J57" s="10"/>
      <c r="K57" s="10"/>
      <c r="L57" s="10"/>
      <c r="M57" s="11"/>
      <c r="N57" s="2"/>
      <c r="O57" s="2"/>
      <c r="P57" s="2"/>
      <c r="Q57" s="2"/>
      <c r="R57" s="2"/>
      <c r="S57" s="2"/>
      <c r="T57" s="2"/>
      <c r="U57" s="2"/>
      <c r="V57" s="2"/>
    </row>
    <row r="58" spans="1:22" ht="14.25" customHeight="1">
      <c r="A58" s="9"/>
      <c r="B58" s="10"/>
      <c r="C58" s="10"/>
      <c r="D58" s="10"/>
      <c r="E58" s="10"/>
      <c r="F58" s="10"/>
      <c r="G58" s="10"/>
      <c r="H58" s="10"/>
      <c r="I58" s="10"/>
      <c r="J58" s="10"/>
      <c r="K58" s="10"/>
      <c r="L58" s="10"/>
      <c r="M58" s="11"/>
      <c r="N58" s="2"/>
      <c r="O58" s="2"/>
      <c r="P58" s="2"/>
      <c r="Q58" s="2"/>
      <c r="R58" s="2"/>
      <c r="S58" s="2"/>
      <c r="T58" s="2"/>
      <c r="U58" s="2"/>
      <c r="V58" s="2"/>
    </row>
    <row r="59" spans="1:22" ht="14.25" customHeight="1">
      <c r="A59" s="9"/>
      <c r="B59" s="10"/>
      <c r="C59" s="10"/>
      <c r="D59" s="10"/>
      <c r="E59" s="10"/>
      <c r="F59" s="10"/>
      <c r="G59" s="10"/>
      <c r="H59" s="10"/>
      <c r="I59" s="10"/>
      <c r="J59" s="10"/>
      <c r="K59" s="10"/>
      <c r="L59" s="10"/>
      <c r="M59" s="11"/>
      <c r="N59" s="2"/>
      <c r="O59" s="2"/>
      <c r="P59" s="2"/>
      <c r="Q59" s="2"/>
      <c r="R59" s="2"/>
      <c r="S59" s="2"/>
      <c r="T59" s="2"/>
      <c r="U59" s="2"/>
      <c r="V59" s="2"/>
    </row>
    <row r="60" spans="1:22" ht="14.25" customHeight="1">
      <c r="A60" s="9"/>
      <c r="B60" s="10"/>
      <c r="C60" s="10"/>
      <c r="D60" s="10"/>
      <c r="E60" s="10"/>
      <c r="F60" s="10"/>
      <c r="G60" s="10"/>
      <c r="H60" s="10"/>
      <c r="I60" s="10"/>
      <c r="J60" s="10"/>
      <c r="K60" s="10"/>
      <c r="L60" s="10"/>
      <c r="M60" s="11"/>
      <c r="N60" s="2"/>
      <c r="O60" s="2"/>
      <c r="P60" s="2"/>
      <c r="Q60" s="2"/>
      <c r="R60" s="2"/>
      <c r="S60" s="2"/>
      <c r="T60" s="2"/>
      <c r="U60" s="2"/>
      <c r="V60" s="2"/>
    </row>
    <row r="61" spans="1:22" ht="14.25" customHeight="1">
      <c r="A61" s="9"/>
      <c r="B61" s="10"/>
      <c r="C61" s="10"/>
      <c r="D61" s="10"/>
      <c r="E61" s="10"/>
      <c r="F61" s="10"/>
      <c r="G61" s="10"/>
      <c r="H61" s="10"/>
      <c r="I61" s="10"/>
      <c r="J61" s="10"/>
      <c r="K61" s="10"/>
      <c r="L61" s="10"/>
      <c r="M61" s="11"/>
      <c r="N61" s="2"/>
      <c r="O61" s="2"/>
      <c r="P61" s="2"/>
      <c r="Q61" s="2"/>
      <c r="R61" s="2"/>
      <c r="S61" s="2"/>
      <c r="T61" s="2"/>
      <c r="U61" s="2"/>
      <c r="V61" s="2"/>
    </row>
    <row r="62" spans="1:22" ht="14.25" customHeight="1">
      <c r="A62" s="9"/>
      <c r="B62" s="10"/>
      <c r="C62" s="10"/>
      <c r="D62" s="10"/>
      <c r="E62" s="10"/>
      <c r="F62" s="10"/>
      <c r="G62" s="10"/>
      <c r="H62" s="10"/>
      <c r="I62" s="10"/>
      <c r="J62" s="10"/>
      <c r="K62" s="10"/>
      <c r="L62" s="10"/>
      <c r="M62" s="11"/>
      <c r="N62" s="2"/>
      <c r="O62" s="2"/>
      <c r="P62" s="2"/>
      <c r="Q62" s="2"/>
      <c r="R62" s="2"/>
      <c r="S62" s="2"/>
      <c r="T62" s="2"/>
      <c r="U62" s="2"/>
      <c r="V62" s="2"/>
    </row>
    <row r="63" spans="1:22" ht="14.25" customHeight="1">
      <c r="A63" s="9"/>
      <c r="B63" s="10"/>
      <c r="C63" s="10"/>
      <c r="D63" s="10"/>
      <c r="E63" s="10"/>
      <c r="F63" s="10"/>
      <c r="G63" s="10"/>
      <c r="H63" s="10"/>
      <c r="I63" s="10"/>
      <c r="J63" s="10"/>
      <c r="K63" s="10"/>
      <c r="L63" s="10"/>
      <c r="M63" s="11"/>
      <c r="N63" s="2"/>
      <c r="O63" s="2"/>
      <c r="P63" s="2"/>
      <c r="Q63" s="2"/>
      <c r="R63" s="2"/>
      <c r="S63" s="2"/>
      <c r="T63" s="2"/>
      <c r="U63" s="2"/>
      <c r="V63" s="2"/>
    </row>
    <row r="64" spans="1:22" ht="14.25" customHeight="1">
      <c r="A64" s="9"/>
      <c r="B64" s="10"/>
      <c r="C64" s="10"/>
      <c r="D64" s="10"/>
      <c r="E64" s="10"/>
      <c r="F64" s="10"/>
      <c r="G64" s="10"/>
      <c r="H64" s="10"/>
      <c r="I64" s="10"/>
      <c r="J64" s="10"/>
      <c r="K64" s="10"/>
      <c r="L64" s="10"/>
      <c r="M64" s="11"/>
      <c r="N64" s="2"/>
      <c r="O64" s="2"/>
      <c r="P64" s="2"/>
      <c r="Q64" s="2"/>
      <c r="R64" s="2"/>
      <c r="S64" s="2"/>
      <c r="T64" s="2"/>
      <c r="U64" s="2"/>
      <c r="V64" s="2"/>
    </row>
    <row r="65" spans="1:22" ht="14.25" customHeight="1">
      <c r="A65" s="9"/>
      <c r="B65" s="10"/>
      <c r="C65" s="10"/>
      <c r="D65" s="10"/>
      <c r="E65" s="10"/>
      <c r="F65" s="10"/>
      <c r="G65" s="10"/>
      <c r="H65" s="10"/>
      <c r="I65" s="10"/>
      <c r="J65" s="10"/>
      <c r="K65" s="10"/>
      <c r="L65" s="10"/>
      <c r="M65" s="11"/>
      <c r="N65" s="2"/>
      <c r="O65" s="2"/>
      <c r="P65" s="2"/>
      <c r="Q65" s="2"/>
      <c r="R65" s="2"/>
      <c r="S65" s="2"/>
      <c r="T65" s="2"/>
      <c r="U65" s="2"/>
      <c r="V65" s="2"/>
    </row>
    <row r="66" spans="1:22" ht="14.25" customHeight="1">
      <c r="A66" s="9"/>
      <c r="B66" s="10"/>
      <c r="C66" s="10"/>
      <c r="D66" s="10"/>
      <c r="E66" s="10"/>
      <c r="F66" s="10"/>
      <c r="G66" s="10"/>
      <c r="H66" s="10"/>
      <c r="I66" s="10"/>
      <c r="J66" s="10"/>
      <c r="K66" s="10"/>
      <c r="L66" s="10"/>
      <c r="M66" s="11"/>
      <c r="N66" s="2"/>
      <c r="O66" s="2"/>
      <c r="P66" s="2"/>
      <c r="Q66" s="2"/>
      <c r="R66" s="2"/>
      <c r="S66" s="2"/>
      <c r="T66" s="2"/>
      <c r="U66" s="2"/>
      <c r="V66" s="2"/>
    </row>
    <row r="67" spans="1:22" ht="14.25" customHeight="1">
      <c r="A67" s="9"/>
      <c r="B67" s="10"/>
      <c r="C67" s="10"/>
      <c r="D67" s="10"/>
      <c r="E67" s="10"/>
      <c r="F67" s="10"/>
      <c r="G67" s="10"/>
      <c r="H67" s="10"/>
      <c r="I67" s="10"/>
      <c r="J67" s="10"/>
      <c r="K67" s="10"/>
      <c r="L67" s="10"/>
      <c r="M67" s="11"/>
      <c r="N67" s="2"/>
      <c r="O67" s="2"/>
      <c r="P67" s="2"/>
      <c r="Q67" s="2"/>
      <c r="R67" s="2"/>
      <c r="S67" s="2"/>
      <c r="T67" s="2"/>
      <c r="U67" s="2"/>
      <c r="V67" s="2"/>
    </row>
    <row r="68" spans="1:22" ht="14.25" customHeight="1">
      <c r="A68" s="9"/>
      <c r="B68" s="10"/>
      <c r="C68" s="10"/>
      <c r="D68" s="10"/>
      <c r="E68" s="10"/>
      <c r="F68" s="10"/>
      <c r="G68" s="10"/>
      <c r="H68" s="10"/>
      <c r="I68" s="10"/>
      <c r="J68" s="10"/>
      <c r="K68" s="10"/>
      <c r="L68" s="10"/>
      <c r="M68" s="11"/>
      <c r="N68" s="2"/>
      <c r="O68" s="2"/>
      <c r="P68" s="2"/>
      <c r="Q68" s="2"/>
      <c r="R68" s="2"/>
      <c r="S68" s="2"/>
      <c r="T68" s="2"/>
      <c r="U68" s="2"/>
      <c r="V68" s="2"/>
    </row>
    <row r="69" spans="1:22" ht="14.25" customHeight="1">
      <c r="A69" s="9"/>
      <c r="B69" s="10"/>
      <c r="C69" s="10"/>
      <c r="D69" s="10"/>
      <c r="E69" s="10"/>
      <c r="F69" s="10"/>
      <c r="G69" s="10"/>
      <c r="H69" s="10"/>
      <c r="I69" s="10"/>
      <c r="J69" s="10"/>
      <c r="K69" s="10"/>
      <c r="L69" s="10"/>
      <c r="M69" s="11"/>
      <c r="N69" s="2"/>
      <c r="O69" s="2"/>
      <c r="P69" s="2"/>
      <c r="Q69" s="2"/>
      <c r="R69" s="2"/>
      <c r="S69" s="2"/>
      <c r="T69" s="2"/>
      <c r="U69" s="2"/>
      <c r="V69" s="2"/>
    </row>
    <row r="70" spans="1:22" ht="14.25" customHeight="1">
      <c r="A70" s="9"/>
      <c r="B70" s="10"/>
      <c r="C70" s="10"/>
      <c r="D70" s="10"/>
      <c r="E70" s="10"/>
      <c r="F70" s="10"/>
      <c r="G70" s="10"/>
      <c r="H70" s="10"/>
      <c r="I70" s="10"/>
      <c r="J70" s="10"/>
      <c r="K70" s="10"/>
      <c r="L70" s="10"/>
      <c r="M70" s="11"/>
      <c r="N70" s="2"/>
      <c r="O70" s="2"/>
      <c r="P70" s="2"/>
      <c r="Q70" s="2"/>
      <c r="R70" s="2"/>
      <c r="S70" s="2"/>
      <c r="T70" s="2"/>
      <c r="U70" s="2"/>
      <c r="V70" s="2"/>
    </row>
    <row r="71" spans="1:22" ht="14.25" customHeight="1">
      <c r="A71" s="9"/>
      <c r="B71" s="10"/>
      <c r="C71" s="10"/>
      <c r="D71" s="10"/>
      <c r="E71" s="10"/>
      <c r="F71" s="10"/>
      <c r="G71" s="10"/>
      <c r="H71" s="10"/>
      <c r="I71" s="10"/>
      <c r="J71" s="10"/>
      <c r="K71" s="10"/>
      <c r="L71" s="10"/>
      <c r="M71" s="11"/>
      <c r="N71" s="2"/>
      <c r="O71" s="2"/>
      <c r="P71" s="2"/>
      <c r="Q71" s="2"/>
      <c r="R71" s="2"/>
      <c r="S71" s="2"/>
      <c r="T71" s="2"/>
      <c r="U71" s="2"/>
      <c r="V71" s="2"/>
    </row>
    <row r="72" spans="1:22" ht="14.25" customHeight="1">
      <c r="A72" s="9"/>
      <c r="B72" s="10"/>
      <c r="C72" s="10"/>
      <c r="D72" s="10"/>
      <c r="E72" s="10"/>
      <c r="F72" s="10"/>
      <c r="G72" s="10"/>
      <c r="H72" s="10"/>
      <c r="I72" s="10"/>
      <c r="J72" s="10"/>
      <c r="K72" s="10"/>
      <c r="L72" s="10"/>
      <c r="M72" s="11"/>
      <c r="N72" s="2"/>
      <c r="O72" s="2"/>
      <c r="P72" s="2"/>
      <c r="Q72" s="2"/>
      <c r="R72" s="2"/>
      <c r="S72" s="2"/>
      <c r="T72" s="2"/>
      <c r="U72" s="2"/>
      <c r="V72" s="2"/>
    </row>
    <row r="73" spans="1:22" ht="14.25" customHeight="1">
      <c r="A73" s="9"/>
      <c r="B73" s="10"/>
      <c r="C73" s="10"/>
      <c r="D73" s="10"/>
      <c r="E73" s="10"/>
      <c r="F73" s="10"/>
      <c r="G73" s="10"/>
      <c r="H73" s="10"/>
      <c r="I73" s="10"/>
      <c r="J73" s="10"/>
      <c r="K73" s="10"/>
      <c r="L73" s="10"/>
      <c r="M73" s="11"/>
      <c r="N73" s="2"/>
      <c r="O73" s="2"/>
      <c r="P73" s="2"/>
      <c r="Q73" s="2"/>
      <c r="R73" s="2"/>
      <c r="S73" s="2"/>
      <c r="T73" s="2"/>
      <c r="U73" s="2"/>
      <c r="V73" s="2"/>
    </row>
    <row r="74" spans="1:22" ht="14.25" customHeight="1">
      <c r="A74" s="9"/>
      <c r="B74" s="10"/>
      <c r="C74" s="10"/>
      <c r="D74" s="10"/>
      <c r="E74" s="10"/>
      <c r="F74" s="10"/>
      <c r="G74" s="10"/>
      <c r="H74" s="10"/>
      <c r="I74" s="10"/>
      <c r="J74" s="10"/>
      <c r="K74" s="10"/>
      <c r="L74" s="10"/>
      <c r="M74" s="11"/>
      <c r="N74" s="2"/>
      <c r="O74" s="2"/>
      <c r="P74" s="2"/>
      <c r="Q74" s="2"/>
      <c r="R74" s="2"/>
      <c r="S74" s="2"/>
      <c r="T74" s="2"/>
      <c r="U74" s="2"/>
      <c r="V74" s="2"/>
    </row>
    <row r="75" spans="1:22" ht="14.25" customHeight="1">
      <c r="A75" s="9"/>
      <c r="B75" s="10"/>
      <c r="C75" s="10"/>
      <c r="D75" s="10"/>
      <c r="E75" s="10"/>
      <c r="F75" s="10"/>
      <c r="G75" s="10"/>
      <c r="H75" s="10"/>
      <c r="I75" s="10"/>
      <c r="J75" s="10"/>
      <c r="K75" s="10"/>
      <c r="L75" s="10"/>
      <c r="M75" s="11"/>
      <c r="N75" s="2"/>
      <c r="O75" s="2"/>
      <c r="P75" s="2"/>
      <c r="Q75" s="2"/>
      <c r="R75" s="2"/>
      <c r="S75" s="2"/>
      <c r="T75" s="2"/>
      <c r="U75" s="2"/>
      <c r="V75" s="2"/>
    </row>
    <row r="76" spans="1:22" ht="14.25" customHeight="1">
      <c r="A76" s="14"/>
      <c r="B76" s="15"/>
      <c r="C76" s="15"/>
      <c r="D76" s="15"/>
      <c r="E76" s="15"/>
      <c r="F76" s="15"/>
      <c r="G76" s="15"/>
      <c r="H76" s="15"/>
      <c r="I76" s="15"/>
      <c r="J76" s="15"/>
      <c r="K76" s="15"/>
      <c r="L76" s="15"/>
      <c r="M76" s="16"/>
      <c r="N76" s="2"/>
      <c r="O76" s="2"/>
      <c r="P76" s="2"/>
      <c r="Q76" s="2"/>
      <c r="R76" s="2"/>
      <c r="S76" s="2"/>
      <c r="T76" s="2"/>
      <c r="U76" s="2"/>
      <c r="V76" s="2"/>
    </row>
    <row r="77" spans="1:22" ht="14.25" customHeight="1">
      <c r="A77" s="2"/>
      <c r="B77" s="2"/>
      <c r="C77" s="2"/>
      <c r="D77" s="2"/>
      <c r="E77" s="2"/>
      <c r="F77" s="2"/>
      <c r="G77" s="2"/>
      <c r="H77" s="2"/>
      <c r="I77" s="2"/>
      <c r="J77" s="2"/>
      <c r="K77" s="2"/>
      <c r="L77" s="2"/>
      <c r="M77" s="2"/>
      <c r="N77" s="2"/>
      <c r="O77" s="2"/>
      <c r="P77" s="2"/>
      <c r="Q77" s="2"/>
      <c r="R77" s="2"/>
      <c r="S77" s="2"/>
      <c r="T77" s="2"/>
      <c r="U77" s="2"/>
      <c r="V77" s="2"/>
    </row>
    <row r="78" spans="1:22" ht="14.25" customHeight="1">
      <c r="A78" s="2"/>
      <c r="B78" s="2"/>
      <c r="C78" s="2"/>
      <c r="D78" s="2"/>
      <c r="E78" s="2"/>
      <c r="F78" s="2"/>
      <c r="G78" s="2"/>
      <c r="H78" s="2"/>
      <c r="I78" s="2"/>
      <c r="J78" s="2"/>
      <c r="K78" s="2"/>
      <c r="L78" s="2"/>
      <c r="M78" s="2"/>
      <c r="N78" s="2"/>
      <c r="O78" s="2"/>
      <c r="P78" s="2"/>
      <c r="Q78" s="2"/>
      <c r="R78" s="2"/>
      <c r="S78" s="2"/>
      <c r="T78" s="2"/>
      <c r="U78" s="2"/>
      <c r="V78" s="2"/>
    </row>
    <row r="79" spans="1:22" ht="14.25" customHeight="1">
      <c r="A79" s="2"/>
      <c r="B79" s="2"/>
      <c r="C79" s="2"/>
      <c r="D79" s="2"/>
      <c r="E79" s="2"/>
      <c r="F79" s="2"/>
      <c r="G79" s="2"/>
      <c r="H79" s="2"/>
      <c r="I79" s="2"/>
      <c r="J79" s="2"/>
      <c r="K79" s="2"/>
      <c r="L79" s="2"/>
      <c r="M79" s="2"/>
      <c r="N79" s="2"/>
      <c r="O79" s="2"/>
      <c r="P79" s="2"/>
      <c r="Q79" s="2"/>
      <c r="R79" s="2"/>
      <c r="S79" s="2"/>
      <c r="T79" s="2"/>
      <c r="U79" s="2"/>
      <c r="V79" s="2"/>
    </row>
    <row r="80" spans="1:22" ht="14.25" customHeight="1">
      <c r="A80" s="2"/>
      <c r="B80" s="2"/>
      <c r="C80" s="2"/>
      <c r="D80" s="2"/>
      <c r="E80" s="2"/>
      <c r="F80" s="2"/>
      <c r="G80" s="2"/>
      <c r="H80" s="2"/>
      <c r="I80" s="2"/>
      <c r="J80" s="2"/>
      <c r="K80" s="2"/>
      <c r="L80" s="2"/>
      <c r="M80" s="2"/>
      <c r="N80" s="2"/>
      <c r="O80" s="2"/>
      <c r="P80" s="2"/>
      <c r="Q80" s="2"/>
      <c r="R80" s="2"/>
      <c r="S80" s="2"/>
      <c r="T80" s="2"/>
      <c r="U80" s="2"/>
      <c r="V80" s="2"/>
    </row>
    <row r="81" spans="1:22" ht="14.25" customHeight="1">
      <c r="A81" s="2"/>
      <c r="B81" s="2"/>
      <c r="C81" s="2"/>
      <c r="D81" s="2"/>
      <c r="E81" s="2"/>
      <c r="F81" s="2"/>
      <c r="G81" s="2"/>
      <c r="H81" s="2"/>
      <c r="I81" s="2"/>
      <c r="J81" s="2"/>
      <c r="K81" s="2"/>
      <c r="L81" s="2"/>
      <c r="M81" s="2"/>
      <c r="N81" s="2"/>
      <c r="O81" s="2"/>
      <c r="P81" s="2"/>
      <c r="Q81" s="2"/>
      <c r="R81" s="2"/>
      <c r="S81" s="2"/>
      <c r="T81" s="2"/>
      <c r="U81" s="2"/>
      <c r="V81" s="2"/>
    </row>
    <row r="82" spans="1:22" ht="14.25" customHeight="1">
      <c r="A82" s="2"/>
      <c r="B82" s="2"/>
      <c r="C82" s="2"/>
      <c r="D82" s="2"/>
      <c r="E82" s="2"/>
      <c r="F82" s="2"/>
      <c r="G82" s="2"/>
      <c r="H82" s="2"/>
      <c r="I82" s="2"/>
      <c r="J82" s="2"/>
      <c r="K82" s="2"/>
      <c r="L82" s="2"/>
      <c r="M82" s="2"/>
      <c r="N82" s="2"/>
      <c r="O82" s="2"/>
      <c r="P82" s="2"/>
      <c r="Q82" s="2"/>
      <c r="R82" s="2"/>
      <c r="S82" s="2"/>
      <c r="T82" s="2"/>
      <c r="U82" s="2"/>
      <c r="V82" s="2"/>
    </row>
    <row r="83" spans="1:22" ht="14.25" customHeight="1">
      <c r="A83" s="2"/>
      <c r="B83" s="2"/>
      <c r="C83" s="2"/>
      <c r="D83" s="2"/>
      <c r="E83" s="2"/>
      <c r="F83" s="2"/>
      <c r="G83" s="2"/>
      <c r="H83" s="2"/>
      <c r="I83" s="2"/>
      <c r="J83" s="2"/>
      <c r="K83" s="2"/>
      <c r="L83" s="2"/>
      <c r="M83" s="2"/>
      <c r="N83" s="2"/>
      <c r="O83" s="2"/>
      <c r="P83" s="2"/>
      <c r="Q83" s="2"/>
      <c r="R83" s="2"/>
      <c r="S83" s="2"/>
      <c r="T83" s="2"/>
      <c r="U83" s="2"/>
      <c r="V83" s="2"/>
    </row>
    <row r="84" spans="1:22" ht="14.25" customHeight="1">
      <c r="A84" s="2"/>
      <c r="B84" s="2"/>
      <c r="C84" s="2"/>
      <c r="D84" s="2"/>
      <c r="E84" s="2"/>
      <c r="F84" s="2"/>
      <c r="G84" s="2"/>
      <c r="H84" s="2"/>
      <c r="I84" s="2"/>
      <c r="J84" s="2"/>
      <c r="K84" s="2"/>
      <c r="L84" s="2"/>
      <c r="M84" s="2"/>
      <c r="N84" s="2"/>
      <c r="O84" s="2"/>
      <c r="P84" s="2"/>
      <c r="Q84" s="2"/>
      <c r="R84" s="2"/>
      <c r="S84" s="2"/>
      <c r="T84" s="2"/>
      <c r="U84" s="2"/>
      <c r="V84" s="2"/>
    </row>
    <row r="85" spans="1:22" ht="14.25" customHeight="1">
      <c r="A85" s="2"/>
      <c r="B85" s="2"/>
      <c r="C85" s="2"/>
      <c r="D85" s="2"/>
      <c r="E85" s="2"/>
      <c r="F85" s="2"/>
      <c r="G85" s="2"/>
      <c r="H85" s="2"/>
      <c r="I85" s="2"/>
      <c r="J85" s="2"/>
      <c r="K85" s="2"/>
      <c r="L85" s="2"/>
      <c r="M85" s="2"/>
      <c r="N85" s="2"/>
      <c r="O85" s="2"/>
      <c r="P85" s="2"/>
      <c r="Q85" s="2"/>
      <c r="R85" s="2"/>
      <c r="S85" s="2"/>
      <c r="T85" s="2"/>
      <c r="U85" s="2"/>
      <c r="V85" s="2"/>
    </row>
    <row r="86" spans="1:22" ht="14.25" customHeight="1">
      <c r="A86" s="2"/>
      <c r="B86" s="2"/>
      <c r="C86" s="2"/>
      <c r="D86" s="2"/>
      <c r="E86" s="2"/>
      <c r="F86" s="2"/>
      <c r="G86" s="2"/>
      <c r="H86" s="2"/>
      <c r="I86" s="2"/>
      <c r="J86" s="2"/>
      <c r="K86" s="2"/>
      <c r="L86" s="2"/>
      <c r="M86" s="2"/>
      <c r="N86" s="2"/>
      <c r="O86" s="2"/>
      <c r="P86" s="2"/>
      <c r="Q86" s="2"/>
      <c r="R86" s="2"/>
      <c r="S86" s="2"/>
      <c r="T86" s="2"/>
      <c r="U86" s="2"/>
      <c r="V86" s="2"/>
    </row>
    <row r="87" spans="1:22" ht="14.25" customHeight="1">
      <c r="A87" s="2"/>
      <c r="B87" s="2"/>
      <c r="C87" s="2"/>
      <c r="D87" s="2"/>
      <c r="E87" s="2"/>
      <c r="F87" s="2"/>
      <c r="G87" s="2"/>
      <c r="H87" s="2"/>
      <c r="I87" s="2"/>
      <c r="J87" s="2"/>
      <c r="K87" s="2"/>
      <c r="L87" s="2"/>
      <c r="M87" s="2"/>
      <c r="N87" s="2"/>
      <c r="O87" s="2"/>
      <c r="P87" s="2"/>
      <c r="Q87" s="2"/>
      <c r="R87" s="2"/>
      <c r="S87" s="2"/>
      <c r="T87" s="2"/>
      <c r="U87" s="2"/>
      <c r="V87" s="2"/>
    </row>
    <row r="88" spans="1:22" ht="14.25" customHeight="1">
      <c r="A88" s="2"/>
      <c r="B88" s="2"/>
      <c r="C88" s="2"/>
      <c r="D88" s="2"/>
      <c r="E88" s="2"/>
      <c r="F88" s="2"/>
      <c r="G88" s="2"/>
      <c r="H88" s="2"/>
      <c r="I88" s="2"/>
      <c r="J88" s="2"/>
      <c r="K88" s="2"/>
      <c r="L88" s="2"/>
      <c r="M88" s="2"/>
      <c r="N88" s="2"/>
      <c r="O88" s="2"/>
      <c r="P88" s="2"/>
      <c r="Q88" s="2"/>
      <c r="R88" s="2"/>
      <c r="S88" s="2"/>
      <c r="T88" s="2"/>
      <c r="U88" s="2"/>
      <c r="V88" s="2"/>
    </row>
    <row r="89" spans="1:22" ht="14.25" customHeight="1">
      <c r="A89" s="2"/>
      <c r="B89" s="2"/>
      <c r="C89" s="2"/>
      <c r="D89" s="2"/>
      <c r="E89" s="2"/>
      <c r="F89" s="2"/>
      <c r="G89" s="2"/>
      <c r="H89" s="2"/>
      <c r="I89" s="2"/>
      <c r="J89" s="2"/>
      <c r="K89" s="2"/>
      <c r="L89" s="2"/>
      <c r="M89" s="2"/>
      <c r="N89" s="2"/>
      <c r="O89" s="2"/>
      <c r="P89" s="2"/>
      <c r="Q89" s="2"/>
      <c r="R89" s="2"/>
      <c r="S89" s="2"/>
      <c r="T89" s="2"/>
      <c r="U89" s="2"/>
      <c r="V89" s="2"/>
    </row>
    <row r="90" spans="1:22" ht="14.25" customHeight="1">
      <c r="A90" s="2"/>
      <c r="B90" s="2"/>
      <c r="C90" s="2"/>
      <c r="D90" s="2"/>
      <c r="E90" s="2"/>
      <c r="F90" s="2"/>
      <c r="G90" s="2"/>
      <c r="H90" s="2"/>
      <c r="I90" s="2"/>
      <c r="J90" s="2"/>
      <c r="K90" s="2"/>
      <c r="L90" s="2"/>
      <c r="M90" s="2"/>
      <c r="N90" s="2"/>
      <c r="O90" s="2"/>
      <c r="P90" s="2"/>
      <c r="Q90" s="2"/>
      <c r="R90" s="2"/>
      <c r="S90" s="2"/>
      <c r="T90" s="2"/>
      <c r="U90" s="2"/>
      <c r="V90" s="2"/>
    </row>
    <row r="91" spans="1:22" ht="14.25" customHeight="1">
      <c r="A91" s="2"/>
      <c r="B91" s="2"/>
      <c r="C91" s="2"/>
      <c r="D91" s="2"/>
      <c r="E91" s="2"/>
      <c r="F91" s="2"/>
      <c r="G91" s="2"/>
      <c r="H91" s="2"/>
      <c r="I91" s="2"/>
      <c r="J91" s="2"/>
      <c r="K91" s="2"/>
      <c r="L91" s="2"/>
      <c r="M91" s="2"/>
      <c r="N91" s="2"/>
      <c r="O91" s="2"/>
      <c r="P91" s="2"/>
      <c r="Q91" s="2"/>
      <c r="R91" s="2"/>
      <c r="S91" s="2"/>
      <c r="T91" s="2"/>
      <c r="U91" s="2"/>
      <c r="V91" s="2"/>
    </row>
    <row r="92" spans="1:22" ht="14.25" customHeight="1">
      <c r="A92" s="2"/>
      <c r="B92" s="2"/>
      <c r="C92" s="2"/>
      <c r="D92" s="2"/>
      <c r="E92" s="2"/>
      <c r="F92" s="2"/>
      <c r="G92" s="2"/>
      <c r="H92" s="2"/>
      <c r="I92" s="2"/>
      <c r="J92" s="2"/>
      <c r="K92" s="2"/>
      <c r="L92" s="2"/>
      <c r="M92" s="2"/>
      <c r="N92" s="2"/>
      <c r="O92" s="2"/>
      <c r="P92" s="2"/>
      <c r="Q92" s="2"/>
      <c r="R92" s="2"/>
      <c r="S92" s="2"/>
      <c r="T92" s="2"/>
      <c r="U92" s="2"/>
      <c r="V92" s="2"/>
    </row>
    <row r="93" spans="1:22" ht="14.25" customHeight="1">
      <c r="A93" s="2"/>
      <c r="B93" s="2"/>
      <c r="C93" s="2"/>
      <c r="D93" s="2"/>
      <c r="E93" s="2"/>
      <c r="F93" s="2"/>
      <c r="G93" s="2"/>
      <c r="H93" s="2"/>
      <c r="I93" s="2"/>
      <c r="J93" s="2"/>
      <c r="K93" s="2"/>
      <c r="L93" s="2"/>
      <c r="M93" s="2"/>
      <c r="N93" s="2"/>
      <c r="O93" s="2"/>
      <c r="P93" s="2"/>
      <c r="Q93" s="2"/>
      <c r="R93" s="2"/>
      <c r="S93" s="2"/>
      <c r="T93" s="2"/>
      <c r="U93" s="2"/>
      <c r="V93" s="2"/>
    </row>
    <row r="94" spans="1:22" ht="14.25" customHeight="1">
      <c r="A94" s="2"/>
      <c r="B94" s="2"/>
      <c r="C94" s="2"/>
      <c r="D94" s="2"/>
      <c r="E94" s="2"/>
      <c r="F94" s="2"/>
      <c r="G94" s="2"/>
      <c r="H94" s="2"/>
      <c r="I94" s="2"/>
      <c r="J94" s="2"/>
      <c r="K94" s="2"/>
      <c r="L94" s="2"/>
      <c r="M94" s="2"/>
      <c r="N94" s="2"/>
      <c r="O94" s="2"/>
      <c r="P94" s="2"/>
      <c r="Q94" s="2"/>
      <c r="R94" s="2"/>
      <c r="S94" s="2"/>
      <c r="T94" s="2"/>
      <c r="U94" s="2"/>
      <c r="V94" s="2"/>
    </row>
    <row r="95" spans="1:22" ht="14.25" customHeight="1">
      <c r="A95" s="2"/>
      <c r="B95" s="2"/>
      <c r="C95" s="2"/>
      <c r="D95" s="2"/>
      <c r="E95" s="2"/>
      <c r="F95" s="2"/>
      <c r="G95" s="2"/>
      <c r="H95" s="2"/>
      <c r="I95" s="2"/>
      <c r="J95" s="2"/>
      <c r="K95" s="2"/>
      <c r="L95" s="2"/>
      <c r="M95" s="2"/>
      <c r="N95" s="2"/>
      <c r="O95" s="2"/>
      <c r="P95" s="2"/>
      <c r="Q95" s="2"/>
      <c r="R95" s="2"/>
      <c r="S95" s="2"/>
      <c r="T95" s="2"/>
      <c r="U95" s="2"/>
      <c r="V95" s="2"/>
    </row>
    <row r="96" spans="1:22" ht="14.25" customHeight="1">
      <c r="A96" s="2"/>
      <c r="B96" s="2"/>
      <c r="C96" s="2"/>
      <c r="D96" s="2"/>
      <c r="E96" s="2"/>
      <c r="F96" s="2"/>
      <c r="G96" s="2"/>
      <c r="H96" s="2"/>
      <c r="I96" s="2"/>
      <c r="J96" s="2"/>
      <c r="K96" s="2"/>
      <c r="L96" s="2"/>
      <c r="M96" s="2"/>
      <c r="N96" s="2"/>
      <c r="O96" s="2"/>
      <c r="P96" s="2"/>
      <c r="Q96" s="2"/>
      <c r="R96" s="2"/>
      <c r="S96" s="2"/>
      <c r="T96" s="2"/>
      <c r="U96" s="2"/>
      <c r="V96" s="2"/>
    </row>
    <row r="97" spans="1:22" ht="14.25" customHeight="1">
      <c r="A97" s="2"/>
      <c r="B97" s="2"/>
      <c r="C97" s="2"/>
      <c r="D97" s="2"/>
      <c r="E97" s="2"/>
      <c r="F97" s="2"/>
      <c r="G97" s="2"/>
      <c r="H97" s="2"/>
      <c r="I97" s="2"/>
      <c r="J97" s="2"/>
      <c r="K97" s="2"/>
      <c r="L97" s="2"/>
      <c r="M97" s="2"/>
      <c r="N97" s="2"/>
      <c r="O97" s="2"/>
      <c r="P97" s="2"/>
      <c r="Q97" s="2"/>
      <c r="R97" s="2"/>
      <c r="S97" s="2"/>
      <c r="T97" s="2"/>
      <c r="U97" s="2"/>
      <c r="V97" s="2"/>
    </row>
    <row r="98" spans="1:22" ht="14.25" customHeight="1">
      <c r="A98" s="2"/>
      <c r="B98" s="2"/>
      <c r="C98" s="2"/>
      <c r="D98" s="2"/>
      <c r="E98" s="2"/>
      <c r="F98" s="2"/>
      <c r="G98" s="2"/>
      <c r="H98" s="2"/>
      <c r="I98" s="2"/>
      <c r="J98" s="2"/>
      <c r="K98" s="2"/>
      <c r="L98" s="2"/>
      <c r="M98" s="2"/>
      <c r="N98" s="2"/>
      <c r="O98" s="2"/>
      <c r="P98" s="2"/>
      <c r="Q98" s="2"/>
      <c r="R98" s="2"/>
      <c r="S98" s="2"/>
      <c r="T98" s="2"/>
      <c r="U98" s="2"/>
      <c r="V98" s="2"/>
    </row>
    <row r="99" spans="1:22" ht="14.25" customHeight="1">
      <c r="A99" s="2"/>
      <c r="B99" s="2"/>
      <c r="C99" s="2"/>
      <c r="D99" s="2"/>
      <c r="E99" s="2"/>
      <c r="F99" s="2"/>
      <c r="G99" s="2"/>
      <c r="H99" s="2"/>
      <c r="I99" s="2"/>
      <c r="J99" s="2"/>
      <c r="K99" s="2"/>
      <c r="L99" s="2"/>
      <c r="M99" s="2"/>
      <c r="N99" s="2"/>
      <c r="O99" s="2"/>
      <c r="P99" s="2"/>
      <c r="Q99" s="2"/>
      <c r="R99" s="2"/>
      <c r="S99" s="2"/>
      <c r="T99" s="2"/>
      <c r="U99" s="2"/>
      <c r="V99" s="2"/>
    </row>
    <row r="100" spans="1:22" ht="14.25" customHeight="1">
      <c r="A100" s="2"/>
      <c r="B100" s="2"/>
      <c r="C100" s="2"/>
      <c r="D100" s="2"/>
      <c r="E100" s="2"/>
      <c r="F100" s="2"/>
      <c r="G100" s="2"/>
      <c r="H100" s="2"/>
      <c r="I100" s="2"/>
      <c r="J100" s="2"/>
      <c r="K100" s="2"/>
      <c r="L100" s="2"/>
      <c r="M100" s="2"/>
      <c r="N100" s="2"/>
      <c r="O100" s="2"/>
      <c r="P100" s="2"/>
      <c r="Q100" s="2"/>
      <c r="R100" s="2"/>
      <c r="S100" s="2"/>
      <c r="T100" s="2"/>
      <c r="U100" s="2"/>
      <c r="V100" s="2"/>
    </row>
    <row r="101" spans="1:22" ht="14.25" customHeight="1">
      <c r="A101" s="2"/>
      <c r="B101" s="2"/>
      <c r="C101" s="2"/>
      <c r="D101" s="2"/>
      <c r="E101" s="2"/>
      <c r="F101" s="2"/>
      <c r="G101" s="2"/>
      <c r="H101" s="2"/>
      <c r="I101" s="2"/>
      <c r="J101" s="2"/>
      <c r="K101" s="2"/>
      <c r="L101" s="2"/>
      <c r="M101" s="2"/>
      <c r="N101" s="2"/>
      <c r="O101" s="2"/>
      <c r="P101" s="2"/>
      <c r="Q101" s="2"/>
      <c r="R101" s="2"/>
      <c r="S101" s="2"/>
      <c r="T101" s="2"/>
      <c r="U101" s="2"/>
      <c r="V101" s="2"/>
    </row>
    <row r="102" spans="1:22" ht="14.25" customHeight="1">
      <c r="A102" s="2"/>
      <c r="B102" s="2"/>
      <c r="C102" s="2"/>
      <c r="D102" s="2"/>
      <c r="E102" s="2"/>
      <c r="F102" s="2"/>
      <c r="G102" s="2"/>
      <c r="H102" s="2"/>
      <c r="I102" s="2"/>
      <c r="J102" s="2"/>
      <c r="K102" s="2"/>
      <c r="L102" s="2"/>
      <c r="M102" s="2"/>
      <c r="N102" s="2"/>
      <c r="O102" s="2"/>
      <c r="P102" s="2"/>
      <c r="Q102" s="2"/>
      <c r="R102" s="2"/>
      <c r="S102" s="2"/>
      <c r="T102" s="2"/>
      <c r="U102" s="2"/>
      <c r="V102" s="2"/>
    </row>
    <row r="103" spans="1:22" ht="14.25" customHeight="1">
      <c r="A103" s="2"/>
      <c r="B103" s="2"/>
      <c r="C103" s="2"/>
      <c r="D103" s="2"/>
      <c r="E103" s="2"/>
      <c r="F103" s="2"/>
      <c r="G103" s="2"/>
      <c r="H103" s="2"/>
      <c r="I103" s="2"/>
      <c r="J103" s="2"/>
      <c r="K103" s="2"/>
      <c r="L103" s="2"/>
      <c r="M103" s="2"/>
      <c r="N103" s="2"/>
      <c r="O103" s="2"/>
      <c r="P103" s="2"/>
      <c r="Q103" s="2"/>
      <c r="R103" s="2"/>
      <c r="S103" s="2"/>
      <c r="T103" s="2"/>
      <c r="U103" s="2"/>
      <c r="V103" s="2"/>
    </row>
    <row r="104" spans="1:22" ht="14.25" customHeight="1">
      <c r="A104" s="2"/>
      <c r="B104" s="2"/>
      <c r="C104" s="2"/>
      <c r="D104" s="2"/>
      <c r="E104" s="2"/>
      <c r="F104" s="2"/>
      <c r="G104" s="2"/>
      <c r="H104" s="2"/>
      <c r="I104" s="2"/>
      <c r="J104" s="2"/>
      <c r="K104" s="2"/>
      <c r="L104" s="2"/>
      <c r="M104" s="2"/>
      <c r="N104" s="2"/>
      <c r="O104" s="2"/>
      <c r="P104" s="2"/>
      <c r="Q104" s="2"/>
      <c r="R104" s="2"/>
      <c r="S104" s="2"/>
      <c r="T104" s="2"/>
      <c r="U104" s="2"/>
      <c r="V104" s="2"/>
    </row>
    <row r="105" spans="1:22" ht="14.25" customHeight="1">
      <c r="A105" s="2"/>
      <c r="B105" s="2"/>
      <c r="C105" s="2"/>
      <c r="D105" s="2"/>
      <c r="E105" s="2"/>
      <c r="F105" s="2"/>
      <c r="G105" s="2"/>
      <c r="H105" s="2"/>
      <c r="I105" s="2"/>
      <c r="J105" s="2"/>
      <c r="K105" s="2"/>
      <c r="L105" s="2"/>
      <c r="M105" s="2"/>
      <c r="N105" s="2"/>
      <c r="O105" s="2"/>
      <c r="P105" s="2"/>
      <c r="Q105" s="2"/>
      <c r="R105" s="2"/>
      <c r="S105" s="2"/>
      <c r="T105" s="2"/>
      <c r="U105" s="2"/>
      <c r="V105" s="2"/>
    </row>
    <row r="106" spans="1:22" ht="14.25" customHeight="1">
      <c r="A106" s="2"/>
      <c r="B106" s="2"/>
      <c r="C106" s="2"/>
      <c r="D106" s="2"/>
      <c r="E106" s="2"/>
      <c r="F106" s="2"/>
      <c r="G106" s="2"/>
      <c r="H106" s="2"/>
      <c r="I106" s="2"/>
      <c r="J106" s="2"/>
      <c r="K106" s="2"/>
      <c r="L106" s="2"/>
      <c r="M106" s="2"/>
      <c r="N106" s="2"/>
      <c r="O106" s="2"/>
      <c r="P106" s="2"/>
      <c r="Q106" s="2"/>
      <c r="R106" s="2"/>
      <c r="S106" s="2"/>
      <c r="T106" s="2"/>
      <c r="U106" s="2"/>
      <c r="V106" s="2"/>
    </row>
    <row r="107" spans="1:22" ht="14.25" customHeight="1">
      <c r="A107" s="2"/>
      <c r="B107" s="2"/>
      <c r="C107" s="2"/>
      <c r="D107" s="2"/>
      <c r="E107" s="2"/>
      <c r="F107" s="2"/>
      <c r="G107" s="2"/>
      <c r="H107" s="2"/>
      <c r="I107" s="2"/>
      <c r="J107" s="2"/>
      <c r="K107" s="2"/>
      <c r="L107" s="2"/>
      <c r="M107" s="2"/>
      <c r="N107" s="2"/>
      <c r="O107" s="2"/>
      <c r="P107" s="2"/>
      <c r="Q107" s="2"/>
      <c r="R107" s="2"/>
      <c r="S107" s="2"/>
      <c r="T107" s="2"/>
      <c r="U107" s="2"/>
      <c r="V107" s="2"/>
    </row>
    <row r="108" spans="1:22" ht="14.25" customHeight="1">
      <c r="A108" s="2"/>
      <c r="B108" s="2"/>
      <c r="C108" s="2"/>
      <c r="D108" s="2"/>
      <c r="E108" s="2"/>
      <c r="F108" s="2"/>
      <c r="G108" s="2"/>
      <c r="H108" s="2"/>
      <c r="I108" s="2"/>
      <c r="J108" s="2"/>
      <c r="K108" s="2"/>
      <c r="L108" s="2"/>
      <c r="M108" s="2"/>
      <c r="N108" s="2"/>
      <c r="O108" s="2"/>
      <c r="P108" s="2"/>
      <c r="Q108" s="2"/>
      <c r="R108" s="2"/>
      <c r="S108" s="2"/>
      <c r="T108" s="2"/>
      <c r="U108" s="2"/>
      <c r="V108" s="2"/>
    </row>
    <row r="109" spans="1:22" ht="14.25" customHeight="1">
      <c r="A109" s="2"/>
      <c r="B109" s="2"/>
      <c r="C109" s="2"/>
      <c r="D109" s="2"/>
      <c r="E109" s="2"/>
      <c r="F109" s="2"/>
      <c r="G109" s="2"/>
      <c r="H109" s="2"/>
      <c r="I109" s="2"/>
      <c r="J109" s="2"/>
      <c r="K109" s="2"/>
      <c r="L109" s="2"/>
      <c r="M109" s="2"/>
      <c r="N109" s="2"/>
      <c r="O109" s="2"/>
      <c r="P109" s="2"/>
      <c r="Q109" s="2"/>
      <c r="R109" s="2"/>
      <c r="S109" s="2"/>
      <c r="T109" s="2"/>
      <c r="U109" s="2"/>
      <c r="V109" s="2"/>
    </row>
    <row r="110" spans="1:22" ht="14.25" customHeight="1">
      <c r="A110" s="2"/>
      <c r="B110" s="2"/>
      <c r="C110" s="2"/>
      <c r="D110" s="2"/>
      <c r="E110" s="2"/>
      <c r="F110" s="2"/>
      <c r="G110" s="2"/>
      <c r="H110" s="2"/>
      <c r="I110" s="2"/>
      <c r="J110" s="2"/>
      <c r="K110" s="2"/>
      <c r="L110" s="2"/>
      <c r="M110" s="2"/>
      <c r="N110" s="2"/>
      <c r="O110" s="2"/>
      <c r="P110" s="2"/>
      <c r="Q110" s="2"/>
      <c r="R110" s="2"/>
      <c r="S110" s="2"/>
      <c r="T110" s="2"/>
      <c r="U110" s="2"/>
      <c r="V110" s="2"/>
    </row>
    <row r="111" spans="1:22" ht="14.25" customHeight="1">
      <c r="A111" s="2"/>
      <c r="B111" s="2"/>
      <c r="C111" s="2"/>
      <c r="D111" s="2"/>
      <c r="E111" s="2"/>
      <c r="F111" s="2"/>
      <c r="G111" s="2"/>
      <c r="H111" s="2"/>
      <c r="I111" s="2"/>
      <c r="J111" s="2"/>
      <c r="K111" s="2"/>
      <c r="L111" s="2"/>
      <c r="M111" s="2"/>
      <c r="N111" s="2"/>
      <c r="O111" s="2"/>
      <c r="P111" s="2"/>
      <c r="Q111" s="2"/>
      <c r="R111" s="2"/>
      <c r="S111" s="2"/>
      <c r="T111" s="2"/>
      <c r="U111" s="2"/>
      <c r="V111" s="2"/>
    </row>
    <row r="112" spans="1:22" ht="14.25" customHeight="1">
      <c r="A112" s="2"/>
      <c r="B112" s="2"/>
      <c r="C112" s="2"/>
      <c r="D112" s="2"/>
      <c r="E112" s="2"/>
      <c r="F112" s="2"/>
      <c r="G112" s="2"/>
      <c r="H112" s="2"/>
      <c r="I112" s="2"/>
      <c r="J112" s="2"/>
      <c r="K112" s="2"/>
      <c r="L112" s="2"/>
      <c r="M112" s="2"/>
      <c r="N112" s="2"/>
      <c r="O112" s="2"/>
      <c r="P112" s="2"/>
      <c r="Q112" s="2"/>
      <c r="R112" s="2"/>
      <c r="S112" s="2"/>
      <c r="T112" s="2"/>
      <c r="U112" s="2"/>
      <c r="V112" s="2"/>
    </row>
    <row r="113" spans="1:22" ht="14.25" customHeight="1">
      <c r="A113" s="2"/>
      <c r="B113" s="2"/>
      <c r="C113" s="2"/>
      <c r="D113" s="2"/>
      <c r="E113" s="2"/>
      <c r="F113" s="2"/>
      <c r="G113" s="2"/>
      <c r="H113" s="2"/>
      <c r="I113" s="2"/>
      <c r="J113" s="2"/>
      <c r="K113" s="2"/>
      <c r="L113" s="2"/>
      <c r="M113" s="2"/>
      <c r="N113" s="2"/>
      <c r="O113" s="2"/>
      <c r="P113" s="2"/>
      <c r="Q113" s="2"/>
      <c r="R113" s="2"/>
      <c r="S113" s="2"/>
      <c r="T113" s="2"/>
      <c r="U113" s="2"/>
      <c r="V113" s="2"/>
    </row>
    <row r="114" spans="1:22" ht="14.25" customHeight="1">
      <c r="A114" s="2"/>
      <c r="B114" s="2"/>
      <c r="C114" s="2"/>
      <c r="D114" s="2"/>
      <c r="E114" s="2"/>
      <c r="F114" s="2"/>
      <c r="G114" s="2"/>
      <c r="H114" s="2"/>
      <c r="I114" s="2"/>
      <c r="J114" s="2"/>
      <c r="K114" s="2"/>
      <c r="L114" s="2"/>
      <c r="M114" s="2"/>
      <c r="N114" s="2"/>
      <c r="O114" s="2"/>
      <c r="P114" s="2"/>
      <c r="Q114" s="2"/>
      <c r="R114" s="2"/>
      <c r="S114" s="2"/>
      <c r="T114" s="2"/>
      <c r="U114" s="2"/>
      <c r="V114" s="2"/>
    </row>
    <row r="115" spans="1:22" ht="14.25" customHeight="1">
      <c r="A115" s="2"/>
      <c r="B115" s="2"/>
      <c r="C115" s="2"/>
      <c r="D115" s="2"/>
      <c r="E115" s="2"/>
      <c r="F115" s="2"/>
      <c r="G115" s="2"/>
      <c r="H115" s="2"/>
      <c r="I115" s="2"/>
      <c r="J115" s="2"/>
      <c r="K115" s="2"/>
      <c r="L115" s="2"/>
      <c r="M115" s="2"/>
      <c r="N115" s="2"/>
      <c r="O115" s="2"/>
      <c r="P115" s="2"/>
      <c r="Q115" s="2"/>
      <c r="R115" s="2"/>
      <c r="S115" s="2"/>
      <c r="T115" s="2"/>
      <c r="U115" s="2"/>
      <c r="V115" s="2"/>
    </row>
    <row r="116" spans="1:22" ht="14.25" customHeight="1">
      <c r="A116" s="2"/>
      <c r="B116" s="2"/>
      <c r="C116" s="2"/>
      <c r="D116" s="2"/>
      <c r="E116" s="2"/>
      <c r="F116" s="2"/>
      <c r="G116" s="2"/>
      <c r="H116" s="2"/>
      <c r="I116" s="2"/>
      <c r="J116" s="2"/>
      <c r="K116" s="2"/>
      <c r="L116" s="2"/>
      <c r="M116" s="2"/>
      <c r="N116" s="2"/>
      <c r="O116" s="2"/>
      <c r="P116" s="2"/>
      <c r="Q116" s="2"/>
      <c r="R116" s="2"/>
      <c r="S116" s="2"/>
      <c r="T116" s="2"/>
      <c r="U116" s="2"/>
      <c r="V116" s="2"/>
    </row>
    <row r="117" spans="1:22" ht="14.25" customHeight="1">
      <c r="A117" s="2"/>
      <c r="B117" s="2"/>
      <c r="C117" s="2"/>
      <c r="D117" s="2"/>
      <c r="E117" s="2"/>
      <c r="F117" s="2"/>
      <c r="G117" s="2"/>
      <c r="H117" s="2"/>
      <c r="I117" s="2"/>
      <c r="J117" s="2"/>
      <c r="K117" s="2"/>
      <c r="L117" s="2"/>
      <c r="M117" s="2"/>
      <c r="N117" s="2"/>
      <c r="O117" s="2"/>
      <c r="P117" s="2"/>
      <c r="Q117" s="2"/>
      <c r="R117" s="2"/>
      <c r="S117" s="2"/>
      <c r="T117" s="2"/>
      <c r="U117" s="2"/>
      <c r="V117" s="2"/>
    </row>
    <row r="118" spans="1:22" ht="14.25" customHeight="1">
      <c r="A118" s="2"/>
      <c r="B118" s="2"/>
      <c r="C118" s="2"/>
      <c r="D118" s="2"/>
      <c r="E118" s="2"/>
      <c r="F118" s="2"/>
      <c r="G118" s="2"/>
      <c r="H118" s="2"/>
      <c r="I118" s="2"/>
      <c r="J118" s="2"/>
      <c r="K118" s="2"/>
      <c r="L118" s="2"/>
      <c r="M118" s="2"/>
      <c r="N118" s="2"/>
      <c r="O118" s="2"/>
      <c r="P118" s="2"/>
      <c r="Q118" s="2"/>
      <c r="R118" s="2"/>
      <c r="S118" s="2"/>
      <c r="T118" s="2"/>
      <c r="U118" s="2"/>
      <c r="V118" s="2"/>
    </row>
    <row r="119" spans="1:22" ht="14.25" customHeight="1">
      <c r="A119" s="2"/>
      <c r="B119" s="2"/>
      <c r="C119" s="2"/>
      <c r="D119" s="2"/>
      <c r="E119" s="2"/>
      <c r="F119" s="2"/>
      <c r="G119" s="2"/>
      <c r="H119" s="2"/>
      <c r="I119" s="2"/>
      <c r="J119" s="2"/>
      <c r="K119" s="2"/>
      <c r="L119" s="2"/>
      <c r="M119" s="2"/>
      <c r="N119" s="2"/>
      <c r="O119" s="2"/>
      <c r="P119" s="2"/>
      <c r="Q119" s="2"/>
      <c r="R119" s="2"/>
      <c r="S119" s="2"/>
      <c r="T119" s="2"/>
      <c r="U119" s="2"/>
      <c r="V119" s="2"/>
    </row>
    <row r="120" spans="1:22" ht="14.25" customHeight="1">
      <c r="A120" s="2"/>
      <c r="B120" s="2"/>
      <c r="C120" s="2"/>
      <c r="D120" s="2"/>
      <c r="E120" s="2"/>
      <c r="F120" s="2"/>
      <c r="G120" s="2"/>
      <c r="H120" s="2"/>
      <c r="I120" s="2"/>
      <c r="J120" s="2"/>
      <c r="K120" s="2"/>
      <c r="L120" s="2"/>
      <c r="M120" s="2"/>
      <c r="N120" s="2"/>
      <c r="O120" s="2"/>
      <c r="P120" s="2"/>
      <c r="Q120" s="2"/>
      <c r="R120" s="2"/>
      <c r="S120" s="2"/>
      <c r="T120" s="2"/>
      <c r="U120" s="2"/>
      <c r="V120" s="2"/>
    </row>
    <row r="121" spans="1:22" ht="14.25" customHeight="1">
      <c r="A121" s="2"/>
      <c r="B121" s="2"/>
      <c r="C121" s="2"/>
      <c r="D121" s="2"/>
      <c r="E121" s="2"/>
      <c r="F121" s="2"/>
      <c r="G121" s="2"/>
      <c r="H121" s="2"/>
      <c r="I121" s="2"/>
      <c r="J121" s="2"/>
      <c r="K121" s="2"/>
      <c r="L121" s="2"/>
      <c r="M121" s="2"/>
      <c r="N121" s="2"/>
      <c r="O121" s="2"/>
      <c r="P121" s="2"/>
      <c r="Q121" s="2"/>
      <c r="R121" s="2"/>
      <c r="S121" s="2"/>
      <c r="T121" s="2"/>
      <c r="U121" s="2"/>
      <c r="V121" s="2"/>
    </row>
    <row r="122" spans="1:22" ht="14.25" customHeight="1">
      <c r="A122" s="2"/>
      <c r="B122" s="2"/>
      <c r="C122" s="2"/>
      <c r="D122" s="2"/>
      <c r="E122" s="2"/>
      <c r="F122" s="2"/>
      <c r="G122" s="2"/>
      <c r="H122" s="2"/>
      <c r="I122" s="2"/>
      <c r="J122" s="2"/>
      <c r="K122" s="2"/>
      <c r="L122" s="2"/>
      <c r="M122" s="2"/>
      <c r="N122" s="2"/>
      <c r="O122" s="2"/>
      <c r="P122" s="2"/>
      <c r="Q122" s="2"/>
      <c r="R122" s="2"/>
      <c r="S122" s="2"/>
      <c r="T122" s="2"/>
      <c r="U122" s="2"/>
      <c r="V122" s="2"/>
    </row>
    <row r="123" spans="1:22" ht="14.25" customHeight="1">
      <c r="A123" s="2"/>
      <c r="B123" s="2"/>
      <c r="C123" s="2"/>
      <c r="D123" s="2"/>
      <c r="E123" s="2"/>
      <c r="F123" s="2"/>
      <c r="G123" s="2"/>
      <c r="H123" s="2"/>
      <c r="I123" s="2"/>
      <c r="J123" s="2"/>
      <c r="K123" s="2"/>
      <c r="L123" s="2"/>
      <c r="M123" s="2"/>
      <c r="N123" s="2"/>
      <c r="O123" s="2"/>
      <c r="P123" s="2"/>
      <c r="Q123" s="2"/>
      <c r="R123" s="2"/>
      <c r="S123" s="2"/>
      <c r="T123" s="2"/>
      <c r="U123" s="2"/>
      <c r="V123" s="2"/>
    </row>
    <row r="124" spans="1:22" ht="14.25" customHeight="1">
      <c r="A124" s="2"/>
      <c r="B124" s="2"/>
      <c r="C124" s="2"/>
      <c r="D124" s="2"/>
      <c r="E124" s="2"/>
      <c r="F124" s="2"/>
      <c r="G124" s="2"/>
      <c r="H124" s="2"/>
      <c r="I124" s="2"/>
      <c r="J124" s="2"/>
      <c r="K124" s="2"/>
      <c r="L124" s="2"/>
      <c r="M124" s="2"/>
      <c r="N124" s="2"/>
      <c r="O124" s="2"/>
      <c r="P124" s="2"/>
      <c r="Q124" s="2"/>
      <c r="R124" s="2"/>
      <c r="S124" s="2"/>
      <c r="T124" s="2"/>
      <c r="U124" s="2"/>
      <c r="V124" s="2"/>
    </row>
    <row r="125" spans="1:22" ht="14.25" customHeight="1">
      <c r="A125" s="2"/>
      <c r="B125" s="2"/>
      <c r="C125" s="2"/>
      <c r="D125" s="2"/>
      <c r="E125" s="2"/>
      <c r="F125" s="2"/>
      <c r="G125" s="2"/>
      <c r="H125" s="2"/>
      <c r="I125" s="2"/>
      <c r="J125" s="2"/>
      <c r="K125" s="2"/>
      <c r="L125" s="2"/>
      <c r="M125" s="2"/>
      <c r="N125" s="2"/>
      <c r="O125" s="2"/>
      <c r="P125" s="2"/>
      <c r="Q125" s="2"/>
      <c r="R125" s="2"/>
      <c r="S125" s="2"/>
      <c r="T125" s="2"/>
      <c r="U125" s="2"/>
      <c r="V125" s="2"/>
    </row>
    <row r="126" spans="1:22" ht="14.25" customHeight="1">
      <c r="A126" s="2"/>
      <c r="B126" s="2"/>
      <c r="C126" s="2"/>
      <c r="D126" s="2"/>
      <c r="E126" s="2"/>
      <c r="F126" s="2"/>
      <c r="G126" s="2"/>
      <c r="H126" s="2"/>
      <c r="I126" s="2"/>
      <c r="J126" s="2"/>
      <c r="K126" s="2"/>
      <c r="L126" s="2"/>
      <c r="M126" s="2"/>
      <c r="N126" s="2"/>
      <c r="O126" s="2"/>
      <c r="P126" s="2"/>
      <c r="Q126" s="2"/>
      <c r="R126" s="2"/>
      <c r="S126" s="2"/>
      <c r="T126" s="2"/>
      <c r="U126" s="2"/>
      <c r="V126" s="2"/>
    </row>
    <row r="127" spans="1:22" ht="14.25" customHeight="1">
      <c r="A127" s="2"/>
      <c r="B127" s="2"/>
      <c r="C127" s="2"/>
      <c r="D127" s="2"/>
      <c r="E127" s="2"/>
      <c r="F127" s="2"/>
      <c r="G127" s="2"/>
      <c r="H127" s="2"/>
      <c r="I127" s="2"/>
      <c r="J127" s="2"/>
      <c r="K127" s="2"/>
      <c r="L127" s="2"/>
      <c r="M127" s="2"/>
      <c r="N127" s="2"/>
      <c r="O127" s="2"/>
      <c r="P127" s="2"/>
      <c r="Q127" s="2"/>
      <c r="R127" s="2"/>
      <c r="S127" s="2"/>
      <c r="T127" s="2"/>
      <c r="U127" s="2"/>
      <c r="V127" s="2"/>
    </row>
    <row r="128" spans="1:22" ht="14.25" customHeight="1">
      <c r="A128" s="2"/>
      <c r="B128" s="2"/>
      <c r="C128" s="2"/>
      <c r="D128" s="2"/>
      <c r="E128" s="2"/>
      <c r="F128" s="2"/>
      <c r="G128" s="2"/>
      <c r="H128" s="2"/>
      <c r="I128" s="2"/>
      <c r="J128" s="2"/>
      <c r="K128" s="2"/>
      <c r="L128" s="2"/>
      <c r="M128" s="2"/>
      <c r="N128" s="2"/>
      <c r="O128" s="2"/>
      <c r="P128" s="2"/>
      <c r="Q128" s="2"/>
      <c r="R128" s="2"/>
      <c r="S128" s="2"/>
      <c r="T128" s="2"/>
      <c r="U128" s="2"/>
      <c r="V128" s="2"/>
    </row>
    <row r="129" spans="1:22" ht="14.25" customHeight="1">
      <c r="A129" s="2"/>
      <c r="B129" s="2"/>
      <c r="C129" s="2"/>
      <c r="D129" s="2"/>
      <c r="E129" s="2"/>
      <c r="F129" s="2"/>
      <c r="G129" s="2"/>
      <c r="H129" s="2"/>
      <c r="I129" s="2"/>
      <c r="J129" s="2"/>
      <c r="K129" s="2"/>
      <c r="L129" s="2"/>
      <c r="M129" s="2"/>
      <c r="N129" s="2"/>
      <c r="O129" s="2"/>
      <c r="P129" s="2"/>
      <c r="Q129" s="2"/>
      <c r="R129" s="2"/>
      <c r="S129" s="2"/>
      <c r="T129" s="2"/>
      <c r="U129" s="2"/>
      <c r="V129" s="2"/>
    </row>
    <row r="130" spans="1:22" ht="14.25" customHeight="1">
      <c r="A130" s="2"/>
      <c r="B130" s="2"/>
      <c r="C130" s="2"/>
      <c r="D130" s="2"/>
      <c r="E130" s="2"/>
      <c r="F130" s="2"/>
      <c r="G130" s="2"/>
      <c r="H130" s="2"/>
      <c r="I130" s="2"/>
      <c r="J130" s="2"/>
      <c r="K130" s="2"/>
      <c r="L130" s="2"/>
      <c r="M130" s="2"/>
      <c r="N130" s="2"/>
      <c r="O130" s="2"/>
      <c r="P130" s="2"/>
      <c r="Q130" s="2"/>
      <c r="R130" s="2"/>
      <c r="S130" s="2"/>
      <c r="T130" s="2"/>
      <c r="U130" s="2"/>
      <c r="V130" s="2"/>
    </row>
    <row r="131" spans="1:22" ht="14.25" customHeight="1">
      <c r="A131" s="2"/>
      <c r="B131" s="2"/>
      <c r="C131" s="2"/>
      <c r="D131" s="2"/>
      <c r="E131" s="2"/>
      <c r="F131" s="2"/>
      <c r="G131" s="2"/>
      <c r="H131" s="2"/>
      <c r="I131" s="2"/>
      <c r="J131" s="2"/>
      <c r="K131" s="2"/>
      <c r="L131" s="2"/>
      <c r="M131" s="2"/>
      <c r="N131" s="2"/>
      <c r="O131" s="2"/>
      <c r="P131" s="2"/>
      <c r="Q131" s="2"/>
      <c r="R131" s="2"/>
      <c r="S131" s="2"/>
      <c r="T131" s="2"/>
      <c r="U131" s="2"/>
      <c r="V131" s="2"/>
    </row>
    <row r="132" spans="1:22" ht="14.25" customHeight="1">
      <c r="A132" s="2"/>
      <c r="B132" s="2"/>
      <c r="C132" s="2"/>
      <c r="D132" s="2"/>
      <c r="E132" s="2"/>
      <c r="F132" s="2"/>
      <c r="G132" s="2"/>
      <c r="H132" s="2"/>
      <c r="I132" s="2"/>
      <c r="J132" s="2"/>
      <c r="K132" s="2"/>
      <c r="L132" s="2"/>
      <c r="M132" s="2"/>
      <c r="N132" s="2"/>
      <c r="O132" s="2"/>
      <c r="P132" s="2"/>
      <c r="Q132" s="2"/>
      <c r="R132" s="2"/>
      <c r="S132" s="2"/>
      <c r="T132" s="2"/>
      <c r="U132" s="2"/>
      <c r="V132" s="2"/>
    </row>
    <row r="133" spans="1:22" ht="14.25" customHeight="1">
      <c r="A133" s="2"/>
      <c r="B133" s="2"/>
      <c r="C133" s="2"/>
      <c r="D133" s="2"/>
      <c r="E133" s="2"/>
      <c r="F133" s="2"/>
      <c r="G133" s="2"/>
      <c r="H133" s="2"/>
      <c r="I133" s="2"/>
      <c r="J133" s="2"/>
      <c r="K133" s="2"/>
      <c r="L133" s="2"/>
      <c r="M133" s="2"/>
      <c r="N133" s="2"/>
      <c r="O133" s="2"/>
      <c r="P133" s="2"/>
      <c r="Q133" s="2"/>
      <c r="R133" s="2"/>
      <c r="S133" s="2"/>
      <c r="T133" s="2"/>
      <c r="U133" s="2"/>
      <c r="V133" s="2"/>
    </row>
    <row r="134" spans="1:22" ht="14.25" customHeight="1">
      <c r="A134" s="2"/>
      <c r="B134" s="2"/>
      <c r="C134" s="2"/>
      <c r="D134" s="2"/>
      <c r="E134" s="2"/>
      <c r="F134" s="2"/>
      <c r="G134" s="2"/>
      <c r="H134" s="2"/>
      <c r="I134" s="2"/>
      <c r="J134" s="2"/>
      <c r="K134" s="2"/>
      <c r="L134" s="2"/>
      <c r="M134" s="2"/>
      <c r="N134" s="2"/>
      <c r="O134" s="2"/>
      <c r="P134" s="2"/>
      <c r="Q134" s="2"/>
      <c r="R134" s="2"/>
      <c r="S134" s="2"/>
      <c r="T134" s="2"/>
      <c r="U134" s="2"/>
      <c r="V134" s="2"/>
    </row>
    <row r="135" spans="1:22" ht="14.25" customHeight="1">
      <c r="A135" s="2"/>
      <c r="B135" s="2"/>
      <c r="C135" s="2"/>
      <c r="D135" s="2"/>
      <c r="E135" s="2"/>
      <c r="F135" s="2"/>
      <c r="G135" s="2"/>
      <c r="H135" s="2"/>
      <c r="I135" s="2"/>
      <c r="J135" s="2"/>
      <c r="K135" s="2"/>
      <c r="L135" s="2"/>
      <c r="M135" s="2"/>
      <c r="N135" s="2"/>
      <c r="O135" s="2"/>
      <c r="P135" s="2"/>
      <c r="Q135" s="2"/>
      <c r="R135" s="2"/>
      <c r="S135" s="2"/>
      <c r="T135" s="2"/>
      <c r="U135" s="2"/>
      <c r="V135" s="2"/>
    </row>
    <row r="136" spans="1:22" ht="14.25" customHeight="1">
      <c r="A136" s="2"/>
      <c r="B136" s="2"/>
      <c r="C136" s="2"/>
      <c r="D136" s="2"/>
      <c r="E136" s="2"/>
      <c r="F136" s="2"/>
      <c r="G136" s="2"/>
      <c r="H136" s="2"/>
      <c r="I136" s="2"/>
      <c r="J136" s="2"/>
      <c r="K136" s="2"/>
      <c r="L136" s="2"/>
      <c r="M136" s="2"/>
      <c r="N136" s="2"/>
      <c r="O136" s="2"/>
      <c r="P136" s="2"/>
      <c r="Q136" s="2"/>
      <c r="R136" s="2"/>
      <c r="S136" s="2"/>
      <c r="T136" s="2"/>
      <c r="U136" s="2"/>
      <c r="V136" s="2"/>
    </row>
    <row r="137" spans="1:22" ht="14.25" customHeight="1">
      <c r="A137" s="2"/>
      <c r="B137" s="2"/>
      <c r="C137" s="2"/>
      <c r="D137" s="2"/>
      <c r="E137" s="2"/>
      <c r="F137" s="2"/>
      <c r="G137" s="2"/>
      <c r="H137" s="2"/>
      <c r="I137" s="2"/>
      <c r="J137" s="2"/>
      <c r="K137" s="2"/>
      <c r="L137" s="2"/>
      <c r="M137" s="2"/>
      <c r="N137" s="2"/>
      <c r="O137" s="2"/>
      <c r="P137" s="2"/>
      <c r="Q137" s="2"/>
      <c r="R137" s="2"/>
      <c r="S137" s="2"/>
      <c r="T137" s="2"/>
      <c r="U137" s="2"/>
      <c r="V137" s="2"/>
    </row>
    <row r="138" spans="1:22" ht="14.25" customHeight="1">
      <c r="A138" s="2"/>
      <c r="B138" s="2"/>
      <c r="C138" s="2"/>
      <c r="D138" s="2"/>
      <c r="E138" s="2"/>
      <c r="F138" s="2"/>
      <c r="G138" s="2"/>
      <c r="H138" s="2"/>
      <c r="I138" s="2"/>
      <c r="J138" s="2"/>
      <c r="K138" s="2"/>
      <c r="L138" s="2"/>
      <c r="M138" s="2"/>
      <c r="N138" s="2"/>
      <c r="O138" s="2"/>
      <c r="P138" s="2"/>
      <c r="Q138" s="2"/>
      <c r="R138" s="2"/>
      <c r="S138" s="2"/>
      <c r="T138" s="2"/>
      <c r="U138" s="2"/>
      <c r="V138" s="2"/>
    </row>
    <row r="139" spans="1:22" ht="14.25" customHeight="1">
      <c r="A139" s="2"/>
      <c r="B139" s="2"/>
      <c r="C139" s="2"/>
      <c r="D139" s="2"/>
      <c r="E139" s="2"/>
      <c r="F139" s="2"/>
      <c r="G139" s="2"/>
      <c r="H139" s="2"/>
      <c r="I139" s="2"/>
      <c r="J139" s="2"/>
      <c r="K139" s="2"/>
      <c r="L139" s="2"/>
      <c r="M139" s="2"/>
      <c r="N139" s="2"/>
      <c r="O139" s="2"/>
      <c r="P139" s="2"/>
      <c r="Q139" s="2"/>
      <c r="R139" s="2"/>
      <c r="S139" s="2"/>
      <c r="T139" s="2"/>
      <c r="U139" s="2"/>
      <c r="V139" s="2"/>
    </row>
    <row r="140" spans="1:22" ht="14.25" customHeight="1">
      <c r="A140" s="2"/>
      <c r="B140" s="2"/>
      <c r="C140" s="2"/>
      <c r="D140" s="2"/>
      <c r="E140" s="2"/>
      <c r="F140" s="2"/>
      <c r="G140" s="2"/>
      <c r="H140" s="2"/>
      <c r="I140" s="2"/>
      <c r="J140" s="2"/>
      <c r="K140" s="2"/>
      <c r="L140" s="2"/>
      <c r="M140" s="2"/>
      <c r="N140" s="2"/>
      <c r="O140" s="2"/>
      <c r="P140" s="2"/>
      <c r="Q140" s="2"/>
      <c r="R140" s="2"/>
      <c r="S140" s="2"/>
      <c r="T140" s="2"/>
      <c r="U140" s="2"/>
      <c r="V140" s="2"/>
    </row>
    <row r="141" spans="1:22" ht="14.25" customHeight="1">
      <c r="A141" s="2"/>
      <c r="B141" s="2"/>
      <c r="C141" s="2"/>
      <c r="D141" s="2"/>
      <c r="E141" s="2"/>
      <c r="F141" s="2"/>
      <c r="G141" s="2"/>
      <c r="H141" s="2"/>
      <c r="I141" s="2"/>
      <c r="J141" s="2"/>
      <c r="K141" s="2"/>
      <c r="L141" s="2"/>
      <c r="M141" s="2"/>
      <c r="N141" s="2"/>
      <c r="O141" s="2"/>
      <c r="P141" s="2"/>
      <c r="Q141" s="2"/>
      <c r="R141" s="2"/>
      <c r="S141" s="2"/>
      <c r="T141" s="2"/>
      <c r="U141" s="2"/>
      <c r="V141" s="2"/>
    </row>
    <row r="142" spans="1:22" ht="14.25" customHeight="1">
      <c r="A142" s="2"/>
      <c r="B142" s="2"/>
      <c r="C142" s="2"/>
      <c r="D142" s="2"/>
      <c r="E142" s="2"/>
      <c r="F142" s="2"/>
      <c r="G142" s="2"/>
      <c r="H142" s="2"/>
      <c r="I142" s="2"/>
      <c r="J142" s="2"/>
      <c r="K142" s="2"/>
      <c r="L142" s="2"/>
      <c r="M142" s="2"/>
      <c r="N142" s="2"/>
      <c r="O142" s="2"/>
      <c r="P142" s="2"/>
      <c r="Q142" s="2"/>
      <c r="R142" s="2"/>
      <c r="S142" s="2"/>
      <c r="T142" s="2"/>
      <c r="U142" s="2"/>
      <c r="V142" s="2"/>
    </row>
    <row r="143" spans="1:22" ht="14.25" customHeight="1">
      <c r="A143" s="2"/>
      <c r="B143" s="2"/>
      <c r="C143" s="2"/>
      <c r="D143" s="2"/>
      <c r="E143" s="2"/>
      <c r="F143" s="2"/>
      <c r="G143" s="2"/>
      <c r="H143" s="2"/>
      <c r="I143" s="2"/>
      <c r="J143" s="2"/>
      <c r="K143" s="2"/>
      <c r="L143" s="2"/>
      <c r="M143" s="2"/>
      <c r="N143" s="2"/>
      <c r="O143" s="2"/>
      <c r="P143" s="2"/>
      <c r="Q143" s="2"/>
      <c r="R143" s="2"/>
      <c r="S143" s="2"/>
      <c r="T143" s="2"/>
      <c r="U143" s="2"/>
      <c r="V143" s="2"/>
    </row>
    <row r="144" spans="1:22" ht="14.25" customHeight="1">
      <c r="A144" s="2"/>
      <c r="B144" s="2"/>
      <c r="C144" s="2"/>
      <c r="D144" s="2"/>
      <c r="E144" s="2"/>
      <c r="F144" s="2"/>
      <c r="G144" s="2"/>
      <c r="H144" s="2"/>
      <c r="I144" s="2"/>
      <c r="J144" s="2"/>
      <c r="K144" s="2"/>
      <c r="L144" s="2"/>
      <c r="M144" s="2"/>
      <c r="N144" s="2"/>
      <c r="O144" s="2"/>
      <c r="P144" s="2"/>
      <c r="Q144" s="2"/>
      <c r="R144" s="2"/>
      <c r="S144" s="2"/>
      <c r="T144" s="2"/>
      <c r="U144" s="2"/>
      <c r="V144" s="2"/>
    </row>
    <row r="145" spans="1:22" ht="14.25" customHeight="1">
      <c r="A145" s="2"/>
      <c r="B145" s="2"/>
      <c r="C145" s="2"/>
      <c r="D145" s="2"/>
      <c r="E145" s="2"/>
      <c r="F145" s="2"/>
      <c r="G145" s="2"/>
      <c r="H145" s="2"/>
      <c r="I145" s="2"/>
      <c r="J145" s="2"/>
      <c r="K145" s="2"/>
      <c r="L145" s="2"/>
      <c r="M145" s="2"/>
      <c r="N145" s="2"/>
      <c r="O145" s="2"/>
      <c r="P145" s="2"/>
      <c r="Q145" s="2"/>
      <c r="R145" s="2"/>
      <c r="S145" s="2"/>
      <c r="T145" s="2"/>
      <c r="U145" s="2"/>
      <c r="V145" s="2"/>
    </row>
    <row r="146" spans="1:22" ht="14.25" customHeight="1">
      <c r="A146" s="2"/>
      <c r="B146" s="2"/>
      <c r="C146" s="2"/>
      <c r="D146" s="2"/>
      <c r="E146" s="2"/>
      <c r="F146" s="2"/>
      <c r="G146" s="2"/>
      <c r="H146" s="2"/>
      <c r="I146" s="2"/>
      <c r="J146" s="2"/>
      <c r="K146" s="2"/>
      <c r="L146" s="2"/>
      <c r="M146" s="2"/>
      <c r="N146" s="2"/>
      <c r="O146" s="2"/>
      <c r="P146" s="2"/>
      <c r="Q146" s="2"/>
      <c r="R146" s="2"/>
      <c r="S146" s="2"/>
      <c r="T146" s="2"/>
      <c r="U146" s="2"/>
      <c r="V146" s="2"/>
    </row>
    <row r="147" spans="1:22" ht="14.25" customHeight="1">
      <c r="A147" s="2"/>
      <c r="B147" s="2"/>
      <c r="C147" s="2"/>
      <c r="D147" s="2"/>
      <c r="E147" s="2"/>
      <c r="F147" s="2"/>
      <c r="G147" s="2"/>
      <c r="H147" s="2"/>
      <c r="I147" s="2"/>
      <c r="J147" s="2"/>
      <c r="K147" s="2"/>
      <c r="L147" s="2"/>
      <c r="M147" s="2"/>
      <c r="N147" s="2"/>
      <c r="O147" s="2"/>
      <c r="P147" s="2"/>
      <c r="Q147" s="2"/>
      <c r="R147" s="2"/>
      <c r="S147" s="2"/>
      <c r="T147" s="2"/>
      <c r="U147" s="2"/>
      <c r="V147" s="2"/>
    </row>
    <row r="148" spans="1:22" ht="14.25" customHeight="1">
      <c r="A148" s="2"/>
      <c r="B148" s="2"/>
      <c r="C148" s="2"/>
      <c r="D148" s="2"/>
      <c r="E148" s="2"/>
      <c r="F148" s="2"/>
      <c r="G148" s="2"/>
      <c r="H148" s="2"/>
      <c r="I148" s="2"/>
      <c r="J148" s="2"/>
      <c r="K148" s="2"/>
      <c r="L148" s="2"/>
      <c r="M148" s="2"/>
      <c r="N148" s="2"/>
      <c r="O148" s="2"/>
      <c r="P148" s="2"/>
      <c r="Q148" s="2"/>
      <c r="R148" s="2"/>
      <c r="S148" s="2"/>
      <c r="T148" s="2"/>
      <c r="U148" s="2"/>
      <c r="V148" s="2"/>
    </row>
    <row r="149" spans="1:22" ht="14.25" customHeight="1">
      <c r="A149" s="2"/>
      <c r="B149" s="2"/>
      <c r="C149" s="2"/>
      <c r="D149" s="2"/>
      <c r="E149" s="2"/>
      <c r="F149" s="2"/>
      <c r="G149" s="2"/>
      <c r="H149" s="2"/>
      <c r="I149" s="2"/>
      <c r="J149" s="2"/>
      <c r="K149" s="2"/>
      <c r="L149" s="2"/>
      <c r="M149" s="2"/>
      <c r="N149" s="2"/>
      <c r="O149" s="2"/>
      <c r="P149" s="2"/>
      <c r="Q149" s="2"/>
      <c r="R149" s="2"/>
      <c r="S149" s="2"/>
      <c r="T149" s="2"/>
      <c r="U149" s="2"/>
      <c r="V149" s="2"/>
    </row>
    <row r="150" spans="1:22" ht="14.25" customHeight="1">
      <c r="A150" s="2"/>
      <c r="B150" s="2"/>
      <c r="C150" s="2"/>
      <c r="D150" s="2"/>
      <c r="E150" s="2"/>
      <c r="F150" s="2"/>
      <c r="G150" s="2"/>
      <c r="H150" s="2"/>
      <c r="I150" s="2"/>
      <c r="J150" s="2"/>
      <c r="K150" s="2"/>
      <c r="L150" s="2"/>
      <c r="M150" s="2"/>
      <c r="N150" s="2"/>
      <c r="O150" s="2"/>
      <c r="P150" s="2"/>
      <c r="Q150" s="2"/>
      <c r="R150" s="2"/>
      <c r="S150" s="2"/>
      <c r="T150" s="2"/>
      <c r="U150" s="2"/>
      <c r="V150" s="2"/>
    </row>
    <row r="151" spans="1:22" ht="14.25" customHeight="1">
      <c r="A151" s="2"/>
      <c r="B151" s="2"/>
      <c r="C151" s="2"/>
      <c r="D151" s="2"/>
      <c r="E151" s="2"/>
      <c r="F151" s="2"/>
      <c r="G151" s="2"/>
      <c r="H151" s="2"/>
      <c r="I151" s="2"/>
      <c r="J151" s="2"/>
      <c r="K151" s="2"/>
      <c r="L151" s="2"/>
      <c r="M151" s="2"/>
      <c r="N151" s="2"/>
      <c r="O151" s="2"/>
      <c r="P151" s="2"/>
      <c r="Q151" s="2"/>
      <c r="R151" s="2"/>
      <c r="S151" s="2"/>
      <c r="T151" s="2"/>
      <c r="U151" s="2"/>
      <c r="V151" s="2"/>
    </row>
    <row r="152" spans="1:22" ht="14.25" customHeight="1">
      <c r="A152" s="2"/>
      <c r="B152" s="2"/>
      <c r="C152" s="2"/>
      <c r="D152" s="2"/>
      <c r="E152" s="2"/>
      <c r="F152" s="2"/>
      <c r="G152" s="2"/>
      <c r="H152" s="2"/>
      <c r="I152" s="2"/>
      <c r="J152" s="2"/>
      <c r="K152" s="2"/>
      <c r="L152" s="2"/>
      <c r="M152" s="2"/>
      <c r="N152" s="2"/>
      <c r="O152" s="2"/>
      <c r="P152" s="2"/>
      <c r="Q152" s="2"/>
      <c r="R152" s="2"/>
      <c r="S152" s="2"/>
      <c r="T152" s="2"/>
      <c r="U152" s="2"/>
      <c r="V152" s="2"/>
    </row>
    <row r="153" spans="1:22" ht="14.25" customHeight="1">
      <c r="A153" s="2"/>
      <c r="B153" s="2"/>
      <c r="C153" s="2"/>
      <c r="D153" s="2"/>
      <c r="E153" s="2"/>
      <c r="F153" s="2"/>
      <c r="G153" s="2"/>
      <c r="H153" s="2"/>
      <c r="I153" s="2"/>
      <c r="J153" s="2"/>
      <c r="K153" s="2"/>
      <c r="L153" s="2"/>
      <c r="M153" s="2"/>
      <c r="N153" s="2"/>
      <c r="O153" s="2"/>
      <c r="P153" s="2"/>
      <c r="Q153" s="2"/>
      <c r="R153" s="2"/>
      <c r="S153" s="2"/>
      <c r="T153" s="2"/>
      <c r="U153" s="2"/>
      <c r="V153" s="2"/>
    </row>
    <row r="154" spans="1:22" ht="14.25" customHeight="1">
      <c r="A154" s="2"/>
      <c r="B154" s="2"/>
      <c r="C154" s="2"/>
      <c r="D154" s="2"/>
      <c r="E154" s="2"/>
      <c r="F154" s="2"/>
      <c r="G154" s="2"/>
      <c r="H154" s="2"/>
      <c r="I154" s="2"/>
      <c r="J154" s="2"/>
      <c r="K154" s="2"/>
      <c r="L154" s="2"/>
      <c r="M154" s="2"/>
      <c r="N154" s="2"/>
      <c r="O154" s="2"/>
      <c r="P154" s="2"/>
      <c r="Q154" s="2"/>
      <c r="R154" s="2"/>
      <c r="S154" s="2"/>
      <c r="T154" s="2"/>
      <c r="U154" s="2"/>
      <c r="V154" s="2"/>
    </row>
    <row r="155" spans="1:22" ht="14.25" customHeight="1">
      <c r="A155" s="2"/>
      <c r="B155" s="2"/>
      <c r="C155" s="2"/>
      <c r="D155" s="2"/>
      <c r="E155" s="2"/>
      <c r="F155" s="2"/>
      <c r="G155" s="2"/>
      <c r="H155" s="2"/>
      <c r="I155" s="2"/>
      <c r="J155" s="2"/>
      <c r="K155" s="2"/>
      <c r="L155" s="2"/>
      <c r="M155" s="2"/>
      <c r="N155" s="2"/>
      <c r="O155" s="2"/>
      <c r="P155" s="2"/>
      <c r="Q155" s="2"/>
      <c r="R155" s="2"/>
      <c r="S155" s="2"/>
      <c r="T155" s="2"/>
      <c r="U155" s="2"/>
      <c r="V155" s="2"/>
    </row>
    <row r="156" spans="1:22" ht="14.25" customHeight="1">
      <c r="A156" s="2"/>
      <c r="B156" s="2"/>
      <c r="C156" s="2"/>
      <c r="D156" s="2"/>
      <c r="E156" s="2"/>
      <c r="F156" s="2"/>
      <c r="G156" s="2"/>
      <c r="H156" s="2"/>
      <c r="I156" s="2"/>
      <c r="J156" s="2"/>
      <c r="K156" s="2"/>
      <c r="L156" s="2"/>
      <c r="M156" s="2"/>
      <c r="N156" s="2"/>
      <c r="O156" s="2"/>
      <c r="P156" s="2"/>
      <c r="Q156" s="2"/>
      <c r="R156" s="2"/>
      <c r="S156" s="2"/>
      <c r="T156" s="2"/>
      <c r="U156" s="2"/>
      <c r="V156" s="2"/>
    </row>
    <row r="157" spans="1:22" ht="14.25" customHeight="1">
      <c r="A157" s="2"/>
      <c r="B157" s="2"/>
      <c r="C157" s="2"/>
      <c r="D157" s="2"/>
      <c r="E157" s="2"/>
      <c r="F157" s="2"/>
      <c r="G157" s="2"/>
      <c r="H157" s="2"/>
      <c r="I157" s="2"/>
      <c r="J157" s="2"/>
      <c r="K157" s="2"/>
      <c r="L157" s="2"/>
      <c r="M157" s="2"/>
      <c r="N157" s="2"/>
      <c r="O157" s="2"/>
      <c r="P157" s="2"/>
      <c r="Q157" s="2"/>
      <c r="R157" s="2"/>
      <c r="S157" s="2"/>
      <c r="T157" s="2"/>
      <c r="U157" s="2"/>
      <c r="V157" s="2"/>
    </row>
    <row r="158" spans="1:22" ht="14.25" customHeight="1">
      <c r="A158" s="2"/>
      <c r="B158" s="2"/>
      <c r="C158" s="2"/>
      <c r="D158" s="2"/>
      <c r="E158" s="2"/>
      <c r="F158" s="2"/>
      <c r="G158" s="2"/>
      <c r="H158" s="2"/>
      <c r="I158" s="2"/>
      <c r="J158" s="2"/>
      <c r="K158" s="2"/>
      <c r="L158" s="2"/>
      <c r="M158" s="2"/>
      <c r="N158" s="2"/>
      <c r="O158" s="2"/>
      <c r="P158" s="2"/>
      <c r="Q158" s="2"/>
      <c r="R158" s="2"/>
      <c r="S158" s="2"/>
      <c r="T158" s="2"/>
      <c r="U158" s="2"/>
      <c r="V158" s="2"/>
    </row>
    <row r="159" spans="1:22" ht="14.25" customHeight="1">
      <c r="A159" s="2"/>
      <c r="B159" s="2"/>
      <c r="C159" s="2"/>
      <c r="D159" s="2"/>
      <c r="E159" s="2"/>
      <c r="F159" s="2"/>
      <c r="G159" s="2"/>
      <c r="H159" s="2"/>
      <c r="I159" s="2"/>
      <c r="J159" s="2"/>
      <c r="K159" s="2"/>
      <c r="L159" s="2"/>
      <c r="M159" s="2"/>
      <c r="N159" s="2"/>
      <c r="O159" s="2"/>
      <c r="P159" s="2"/>
      <c r="Q159" s="2"/>
      <c r="R159" s="2"/>
      <c r="S159" s="2"/>
      <c r="T159" s="2"/>
      <c r="U159" s="2"/>
      <c r="V159" s="2"/>
    </row>
    <row r="160" spans="1:22" ht="14.25" customHeight="1">
      <c r="A160" s="2"/>
      <c r="B160" s="2"/>
      <c r="C160" s="2"/>
      <c r="D160" s="2"/>
      <c r="E160" s="2"/>
      <c r="F160" s="2"/>
      <c r="G160" s="2"/>
      <c r="H160" s="2"/>
      <c r="I160" s="2"/>
      <c r="J160" s="2"/>
      <c r="K160" s="2"/>
      <c r="L160" s="2"/>
      <c r="M160" s="2"/>
      <c r="N160" s="2"/>
      <c r="O160" s="2"/>
      <c r="P160" s="2"/>
      <c r="Q160" s="2"/>
      <c r="R160" s="2"/>
      <c r="S160" s="2"/>
      <c r="T160" s="2"/>
      <c r="U160" s="2"/>
      <c r="V160" s="2"/>
    </row>
    <row r="161" spans="1:22" ht="14.25" customHeight="1">
      <c r="A161" s="2"/>
      <c r="B161" s="2"/>
      <c r="C161" s="2"/>
      <c r="D161" s="2"/>
      <c r="E161" s="2"/>
      <c r="F161" s="2"/>
      <c r="G161" s="2"/>
      <c r="H161" s="2"/>
      <c r="I161" s="2"/>
      <c r="J161" s="2"/>
      <c r="K161" s="2"/>
      <c r="L161" s="2"/>
      <c r="M161" s="2"/>
      <c r="N161" s="2"/>
      <c r="O161" s="2"/>
      <c r="P161" s="2"/>
      <c r="Q161" s="2"/>
      <c r="R161" s="2"/>
      <c r="S161" s="2"/>
      <c r="T161" s="2"/>
      <c r="U161" s="2"/>
      <c r="V161" s="2"/>
    </row>
    <row r="162" spans="1:22" ht="14.25" customHeight="1">
      <c r="A162" s="2"/>
      <c r="B162" s="2"/>
      <c r="C162" s="2"/>
      <c r="D162" s="2"/>
      <c r="E162" s="2"/>
      <c r="F162" s="2"/>
      <c r="G162" s="2"/>
      <c r="H162" s="2"/>
      <c r="I162" s="2"/>
      <c r="J162" s="2"/>
      <c r="K162" s="2"/>
      <c r="L162" s="2"/>
      <c r="M162" s="2"/>
      <c r="N162" s="2"/>
      <c r="O162" s="2"/>
      <c r="P162" s="2"/>
      <c r="Q162" s="2"/>
      <c r="R162" s="2"/>
      <c r="S162" s="2"/>
      <c r="T162" s="2"/>
      <c r="U162" s="2"/>
      <c r="V162" s="2"/>
    </row>
    <row r="163" spans="1:22" ht="14.25" customHeight="1">
      <c r="A163" s="2"/>
      <c r="B163" s="2"/>
      <c r="C163" s="2"/>
      <c r="D163" s="2"/>
      <c r="E163" s="2"/>
      <c r="F163" s="2"/>
      <c r="G163" s="2"/>
      <c r="H163" s="2"/>
      <c r="I163" s="2"/>
      <c r="J163" s="2"/>
      <c r="K163" s="2"/>
      <c r="L163" s="2"/>
      <c r="M163" s="2"/>
      <c r="N163" s="2"/>
      <c r="O163" s="2"/>
      <c r="P163" s="2"/>
      <c r="Q163" s="2"/>
      <c r="R163" s="2"/>
      <c r="S163" s="2"/>
      <c r="T163" s="2"/>
      <c r="U163" s="2"/>
      <c r="V163" s="2"/>
    </row>
    <row r="164" spans="1:22" ht="14.25" customHeight="1"/>
    <row r="165" spans="1:22" ht="14.25" customHeight="1"/>
    <row r="166" spans="1:22" ht="14.25" customHeight="1"/>
    <row r="167" spans="1:22" ht="14.25" customHeight="1"/>
    <row r="168" spans="1:22" ht="14.25" customHeight="1"/>
    <row r="169" spans="1:22" ht="14.25" customHeight="1"/>
    <row r="170" spans="1:22" ht="14.25" customHeight="1"/>
    <row r="171" spans="1:22" ht="14.25" customHeight="1"/>
    <row r="172" spans="1:22" ht="14.25" customHeight="1"/>
    <row r="173" spans="1:22" ht="14.25" customHeight="1"/>
    <row r="174" spans="1:22" ht="14.25" customHeight="1"/>
    <row r="175" spans="1:22" ht="14.25" customHeight="1"/>
    <row r="176" spans="1:22"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3:K3"/>
  </mergeCells>
  <pageMargins left="0.7" right="0.7" top="0.78740157499999996" bottom="0.78740157499999996"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3850C-D9C6-4ED6-9A22-0CB24C2188EA}">
  <sheetPr codeName="Sheet5">
    <tabColor theme="7"/>
  </sheetPr>
  <dimension ref="B1:U46"/>
  <sheetViews>
    <sheetView showGridLines="0" zoomScale="85" zoomScaleNormal="85" workbookViewId="0">
      <selection activeCell="G13" sqref="G13"/>
    </sheetView>
  </sheetViews>
  <sheetFormatPr baseColWidth="10" defaultColWidth="8.85546875" defaultRowHeight="15"/>
  <cols>
    <col min="1" max="1" width="8.42578125" style="124" customWidth="1"/>
    <col min="2" max="2" width="40.28515625" style="124" customWidth="1"/>
    <col min="3" max="3" width="5" style="124" customWidth="1"/>
    <col min="4" max="4" width="9" style="124" bestFit="1" customWidth="1"/>
    <col min="5" max="5" width="9" style="124" customWidth="1"/>
    <col min="6" max="6" width="11.5703125" style="124" customWidth="1"/>
    <col min="7" max="7" width="11" style="124" customWidth="1"/>
    <col min="8" max="8" width="7.85546875" style="124" customWidth="1"/>
    <col min="9" max="9" width="3.7109375" style="124" customWidth="1"/>
    <col min="10" max="10" width="2" style="124" customWidth="1"/>
    <col min="11" max="11" width="11" style="124" customWidth="1"/>
    <col min="12" max="12" width="13.140625" style="124" customWidth="1"/>
    <col min="13" max="13" width="4.7109375" style="124" customWidth="1"/>
    <col min="14" max="14" width="13" style="124" customWidth="1"/>
    <col min="15" max="15" width="14.28515625" style="124" customWidth="1"/>
    <col min="16" max="16" width="13" style="124" customWidth="1"/>
    <col min="17" max="17" width="8.85546875" style="124" customWidth="1"/>
    <col min="18" max="18" width="13" style="124" customWidth="1"/>
    <col min="19" max="19" width="9.5703125" style="124" bestFit="1" customWidth="1"/>
    <col min="20" max="20" width="3.85546875" style="124" customWidth="1"/>
    <col min="21" max="21" width="2.28515625" style="124" customWidth="1"/>
    <col min="22" max="24" width="8.85546875" style="124"/>
    <col min="25" max="25" width="11.5703125" style="124" bestFit="1" customWidth="1"/>
    <col min="26" max="16384" width="8.85546875" style="124"/>
  </cols>
  <sheetData>
    <row r="1" spans="2:21" ht="15.75" thickBot="1"/>
    <row r="2" spans="2:21">
      <c r="B2" s="202"/>
      <c r="C2" s="201"/>
      <c r="D2" s="201"/>
      <c r="E2" s="201"/>
      <c r="F2" s="201"/>
      <c r="G2" s="201"/>
      <c r="H2" s="201"/>
      <c r="I2" s="201"/>
      <c r="J2" s="201"/>
      <c r="K2" s="201"/>
      <c r="L2" s="201"/>
      <c r="M2" s="201"/>
      <c r="N2" s="201"/>
      <c r="O2" s="201"/>
      <c r="P2" s="201"/>
      <c r="Q2" s="201"/>
      <c r="R2" s="201"/>
      <c r="S2" s="201"/>
      <c r="T2" s="201"/>
      <c r="U2" s="203"/>
    </row>
    <row r="3" spans="2:21">
      <c r="B3" s="125"/>
      <c r="U3" s="126"/>
    </row>
    <row r="4" spans="2:21">
      <c r="B4" s="125"/>
      <c r="C4" s="141" t="s">
        <v>851</v>
      </c>
      <c r="D4" s="141"/>
      <c r="E4" s="141"/>
      <c r="F4" s="141"/>
      <c r="G4" s="323" t="s">
        <v>247</v>
      </c>
      <c r="H4" s="141"/>
      <c r="I4" s="141"/>
      <c r="U4" s="126"/>
    </row>
    <row r="5" spans="2:21">
      <c r="B5" s="125"/>
      <c r="D5" s="124" t="s">
        <v>796</v>
      </c>
      <c r="G5" s="437">
        <v>20</v>
      </c>
      <c r="H5" s="124" t="s">
        <v>398</v>
      </c>
      <c r="U5" s="126"/>
    </row>
    <row r="6" spans="2:21">
      <c r="B6" s="125"/>
      <c r="D6" s="124" t="s">
        <v>313</v>
      </c>
      <c r="G6" s="437">
        <v>22</v>
      </c>
      <c r="H6" s="124" t="s">
        <v>398</v>
      </c>
      <c r="U6" s="126"/>
    </row>
    <row r="7" spans="2:21">
      <c r="B7" s="125"/>
      <c r="D7" s="124" t="s">
        <v>454</v>
      </c>
      <c r="G7" s="437">
        <v>20</v>
      </c>
      <c r="H7" s="124" t="s">
        <v>398</v>
      </c>
      <c r="U7" s="126"/>
    </row>
    <row r="8" spans="2:21">
      <c r="B8" s="125"/>
      <c r="D8" s="124" t="s">
        <v>797</v>
      </c>
      <c r="G8" s="437">
        <v>10</v>
      </c>
      <c r="H8" s="124" t="s">
        <v>398</v>
      </c>
      <c r="U8" s="126"/>
    </row>
    <row r="9" spans="2:21">
      <c r="B9" s="125"/>
      <c r="C9" s="141"/>
      <c r="D9" s="141"/>
      <c r="E9" s="141"/>
      <c r="F9" s="141"/>
      <c r="G9" s="141"/>
      <c r="H9" s="141"/>
      <c r="I9" s="141"/>
      <c r="U9" s="126"/>
    </row>
    <row r="10" spans="2:21">
      <c r="B10" s="125"/>
      <c r="C10" s="141"/>
      <c r="D10" s="205" t="s">
        <v>850</v>
      </c>
      <c r="E10" s="141"/>
      <c r="F10" s="141"/>
      <c r="G10" s="141"/>
      <c r="H10" s="141"/>
      <c r="I10" s="141"/>
      <c r="K10" s="141" t="s">
        <v>781</v>
      </c>
      <c r="U10" s="126"/>
    </row>
    <row r="11" spans="2:21">
      <c r="B11" s="125"/>
      <c r="K11" s="205" t="s">
        <v>852</v>
      </c>
      <c r="U11" s="126"/>
    </row>
    <row r="12" spans="2:21">
      <c r="B12" s="125"/>
      <c r="C12" s="141" t="s">
        <v>798</v>
      </c>
      <c r="U12" s="126"/>
    </row>
    <row r="13" spans="2:21">
      <c r="B13" s="125"/>
      <c r="D13" s="124" t="s">
        <v>400</v>
      </c>
      <c r="G13" s="437" t="s">
        <v>401</v>
      </c>
      <c r="H13" s="124" t="s">
        <v>802</v>
      </c>
      <c r="L13" s="124" t="s">
        <v>414</v>
      </c>
      <c r="N13" s="436" t="s">
        <v>415</v>
      </c>
      <c r="O13" s="436"/>
      <c r="P13" s="124" t="s">
        <v>802</v>
      </c>
      <c r="Q13" s="322" t="s">
        <v>761</v>
      </c>
      <c r="R13" s="437">
        <v>200</v>
      </c>
      <c r="S13" s="322" t="s">
        <v>422</v>
      </c>
      <c r="U13" s="126"/>
    </row>
    <row r="14" spans="2:21">
      <c r="B14" s="125"/>
      <c r="D14" s="124" t="s">
        <v>402</v>
      </c>
      <c r="G14" s="437">
        <v>18</v>
      </c>
      <c r="H14" s="124" t="s">
        <v>403</v>
      </c>
      <c r="L14" s="124" t="s">
        <v>439</v>
      </c>
      <c r="N14" s="436" t="s">
        <v>440</v>
      </c>
      <c r="O14" s="436"/>
      <c r="P14" s="124" t="s">
        <v>802</v>
      </c>
      <c r="Q14" s="252" t="s">
        <v>762</v>
      </c>
      <c r="R14" s="437">
        <v>100</v>
      </c>
      <c r="S14" s="252" t="s">
        <v>15</v>
      </c>
      <c r="U14" s="126"/>
    </row>
    <row r="15" spans="2:21">
      <c r="B15" s="125"/>
      <c r="D15" s="124" t="s">
        <v>406</v>
      </c>
      <c r="G15" s="437">
        <v>1.2</v>
      </c>
      <c r="H15" s="124" t="s">
        <v>6</v>
      </c>
      <c r="U15" s="126"/>
    </row>
    <row r="16" spans="2:21">
      <c r="B16" s="125"/>
      <c r="D16" s="124" t="s">
        <v>407</v>
      </c>
      <c r="G16" s="437">
        <v>2.4</v>
      </c>
      <c r="H16" s="124" t="s">
        <v>6</v>
      </c>
      <c r="K16" s="141" t="s">
        <v>482</v>
      </c>
      <c r="U16" s="126"/>
    </row>
    <row r="17" spans="2:21">
      <c r="B17" s="125"/>
      <c r="K17" s="205" t="s">
        <v>801</v>
      </c>
      <c r="U17" s="126"/>
    </row>
    <row r="18" spans="2:21">
      <c r="B18" s="125"/>
      <c r="C18" s="141" t="s">
        <v>437</v>
      </c>
      <c r="F18" s="141"/>
      <c r="H18" s="141"/>
      <c r="I18" s="141"/>
      <c r="U18" s="126"/>
    </row>
    <row r="19" spans="2:21">
      <c r="B19" s="125"/>
      <c r="D19" s="124" t="s">
        <v>446</v>
      </c>
      <c r="G19" s="440">
        <v>0.1</v>
      </c>
      <c r="L19" s="141"/>
      <c r="M19" s="366" t="s">
        <v>485</v>
      </c>
      <c r="N19" s="366"/>
      <c r="O19" s="124" t="s">
        <v>486</v>
      </c>
      <c r="P19" s="124" t="s">
        <v>487</v>
      </c>
      <c r="Q19" s="124" t="s">
        <v>486</v>
      </c>
      <c r="R19" s="124" t="s">
        <v>488</v>
      </c>
      <c r="S19" s="124" t="s">
        <v>486</v>
      </c>
      <c r="U19" s="126"/>
    </row>
    <row r="20" spans="2:21">
      <c r="B20" s="125"/>
      <c r="D20" s="124" t="s">
        <v>449</v>
      </c>
      <c r="G20" s="437" t="s">
        <v>450</v>
      </c>
      <c r="H20" s="124" t="s">
        <v>802</v>
      </c>
      <c r="L20" s="124" t="s">
        <v>445</v>
      </c>
      <c r="M20" s="438" t="s">
        <v>491</v>
      </c>
      <c r="N20" s="438"/>
      <c r="O20" s="437">
        <v>341</v>
      </c>
      <c r="P20" s="437" t="s">
        <v>492</v>
      </c>
      <c r="Q20" s="437"/>
      <c r="R20" s="437" t="s">
        <v>492</v>
      </c>
      <c r="S20" s="437"/>
      <c r="U20" s="126"/>
    </row>
    <row r="21" spans="2:21">
      <c r="B21" s="125"/>
      <c r="L21" s="124" t="s">
        <v>496</v>
      </c>
      <c r="M21" s="438" t="s">
        <v>491</v>
      </c>
      <c r="N21" s="438"/>
      <c r="O21" s="437">
        <v>50</v>
      </c>
      <c r="P21" s="437" t="s">
        <v>492</v>
      </c>
      <c r="Q21" s="437"/>
      <c r="R21" s="437" t="s">
        <v>492</v>
      </c>
      <c r="S21" s="437"/>
      <c r="U21" s="126"/>
    </row>
    <row r="22" spans="2:21">
      <c r="B22" s="125"/>
      <c r="C22" s="141" t="s">
        <v>534</v>
      </c>
      <c r="L22" s="124" t="s">
        <v>437</v>
      </c>
      <c r="M22" s="438" t="s">
        <v>491</v>
      </c>
      <c r="N22" s="438"/>
      <c r="O22" s="439">
        <v>50</v>
      </c>
      <c r="P22" s="437" t="s">
        <v>492</v>
      </c>
      <c r="Q22" s="437"/>
      <c r="R22" s="437" t="s">
        <v>492</v>
      </c>
      <c r="S22" s="437"/>
      <c r="U22" s="126"/>
    </row>
    <row r="23" spans="2:21">
      <c r="B23" s="125"/>
      <c r="D23" s="124" t="s">
        <v>410</v>
      </c>
      <c r="G23" s="437" t="s">
        <v>411</v>
      </c>
      <c r="H23" s="124" t="s">
        <v>802</v>
      </c>
      <c r="L23" s="124" t="s">
        <v>481</v>
      </c>
      <c r="M23" s="438" t="s">
        <v>501</v>
      </c>
      <c r="N23" s="438"/>
      <c r="O23" s="439">
        <v>740</v>
      </c>
      <c r="P23" s="437" t="s">
        <v>502</v>
      </c>
      <c r="Q23" s="437">
        <v>11600</v>
      </c>
      <c r="R23" s="437" t="s">
        <v>491</v>
      </c>
      <c r="S23" s="437">
        <v>827</v>
      </c>
      <c r="U23" s="126"/>
    </row>
    <row r="24" spans="2:21">
      <c r="B24" s="125"/>
      <c r="L24" s="124" t="s">
        <v>464</v>
      </c>
      <c r="M24" s="438" t="s">
        <v>491</v>
      </c>
      <c r="N24" s="438"/>
      <c r="O24" s="439">
        <v>341</v>
      </c>
      <c r="P24" s="437" t="s">
        <v>492</v>
      </c>
      <c r="Q24" s="437"/>
      <c r="R24" s="437" t="s">
        <v>492</v>
      </c>
      <c r="S24" s="437"/>
      <c r="U24" s="126"/>
    </row>
    <row r="25" spans="2:21">
      <c r="B25" s="125"/>
      <c r="C25" s="141" t="s">
        <v>800</v>
      </c>
      <c r="L25" s="124" t="s">
        <v>463</v>
      </c>
      <c r="M25" s="438" t="s">
        <v>491</v>
      </c>
      <c r="N25" s="438"/>
      <c r="O25" s="439">
        <v>50</v>
      </c>
      <c r="P25" s="437" t="s">
        <v>492</v>
      </c>
      <c r="Q25" s="437"/>
      <c r="R25" s="437" t="s">
        <v>492</v>
      </c>
      <c r="S25" s="437"/>
      <c r="U25" s="126"/>
    </row>
    <row r="26" spans="2:21">
      <c r="B26" s="125"/>
      <c r="D26" s="124" t="s">
        <v>468</v>
      </c>
      <c r="G26" s="437">
        <v>2000</v>
      </c>
      <c r="H26" s="124" t="s">
        <v>469</v>
      </c>
      <c r="L26" s="124" t="s">
        <v>506</v>
      </c>
      <c r="M26" s="438" t="s">
        <v>501</v>
      </c>
      <c r="N26" s="438"/>
      <c r="O26" s="439">
        <v>770</v>
      </c>
      <c r="P26" s="437" t="s">
        <v>502</v>
      </c>
      <c r="Q26" s="437">
        <v>6580</v>
      </c>
      <c r="R26" s="437" t="s">
        <v>491</v>
      </c>
      <c r="S26" s="437">
        <v>341</v>
      </c>
      <c r="U26" s="126"/>
    </row>
    <row r="27" spans="2:21">
      <c r="B27" s="125"/>
      <c r="D27" s="124" t="s">
        <v>472</v>
      </c>
      <c r="G27" s="437" t="s">
        <v>473</v>
      </c>
      <c r="H27" s="124" t="s">
        <v>802</v>
      </c>
      <c r="L27" s="124" t="s">
        <v>507</v>
      </c>
      <c r="M27" s="438" t="s">
        <v>501</v>
      </c>
      <c r="N27" s="438"/>
      <c r="O27" s="439">
        <v>770</v>
      </c>
      <c r="P27" s="437" t="s">
        <v>502</v>
      </c>
      <c r="Q27" s="437">
        <v>6580</v>
      </c>
      <c r="R27" s="437" t="s">
        <v>491</v>
      </c>
      <c r="S27" s="437">
        <v>341</v>
      </c>
      <c r="U27" s="126"/>
    </row>
    <row r="28" spans="2:21">
      <c r="B28" s="125"/>
      <c r="D28" s="124" t="s">
        <v>479</v>
      </c>
      <c r="G28" s="437">
        <v>2</v>
      </c>
      <c r="H28" s="204" t="s">
        <v>6</v>
      </c>
      <c r="L28" s="124" t="s">
        <v>270</v>
      </c>
      <c r="M28" s="438" t="s">
        <v>501</v>
      </c>
      <c r="N28" s="438"/>
      <c r="O28" s="439">
        <v>740</v>
      </c>
      <c r="P28" s="437" t="s">
        <v>502</v>
      </c>
      <c r="Q28" s="437">
        <v>11600</v>
      </c>
      <c r="R28" s="437" t="s">
        <v>491</v>
      </c>
      <c r="S28" s="437">
        <v>827</v>
      </c>
      <c r="U28" s="126"/>
    </row>
    <row r="29" spans="2:21">
      <c r="B29" s="125"/>
      <c r="M29" s="367"/>
      <c r="N29" s="367"/>
      <c r="O29" s="205"/>
      <c r="U29" s="126"/>
    </row>
    <row r="30" spans="2:21">
      <c r="B30" s="125"/>
      <c r="C30" s="141" t="s">
        <v>481</v>
      </c>
      <c r="K30" s="124" t="s">
        <v>409</v>
      </c>
      <c r="U30" s="126"/>
    </row>
    <row r="31" spans="2:21">
      <c r="B31" s="125"/>
      <c r="D31" s="124" t="s">
        <v>489</v>
      </c>
      <c r="G31" s="437" t="s">
        <v>14</v>
      </c>
      <c r="H31" s="124" t="s">
        <v>802</v>
      </c>
      <c r="L31" s="124" t="s">
        <v>804</v>
      </c>
      <c r="N31" s="437" t="s">
        <v>425</v>
      </c>
      <c r="U31" s="126"/>
    </row>
    <row r="32" spans="2:21">
      <c r="B32" s="125"/>
      <c r="D32" s="124" t="s">
        <v>495</v>
      </c>
      <c r="G32" s="437">
        <v>2020</v>
      </c>
      <c r="H32" s="124" t="s">
        <v>403</v>
      </c>
      <c r="L32" s="124" t="s">
        <v>805</v>
      </c>
      <c r="N32" s="437">
        <v>10</v>
      </c>
      <c r="O32" s="124" t="s">
        <v>413</v>
      </c>
      <c r="U32" s="126"/>
    </row>
    <row r="33" spans="2:21">
      <c r="B33" s="125"/>
      <c r="D33" s="124" t="s">
        <v>498</v>
      </c>
      <c r="G33" s="437">
        <v>845</v>
      </c>
      <c r="H33" s="124" t="s">
        <v>403</v>
      </c>
      <c r="U33" s="126"/>
    </row>
    <row r="34" spans="2:21">
      <c r="B34" s="125"/>
      <c r="D34" s="124" t="s">
        <v>499</v>
      </c>
      <c r="G34" s="437" t="s">
        <v>613</v>
      </c>
      <c r="H34" s="124" t="s">
        <v>802</v>
      </c>
      <c r="U34" s="126"/>
    </row>
    <row r="35" spans="2:21">
      <c r="B35" s="125"/>
      <c r="D35" s="124" t="s">
        <v>503</v>
      </c>
      <c r="G35" s="437" t="s">
        <v>434</v>
      </c>
      <c r="H35" s="124" t="s">
        <v>802</v>
      </c>
      <c r="U35" s="126"/>
    </row>
    <row r="36" spans="2:21">
      <c r="B36" s="125"/>
      <c r="D36" s="124" t="s">
        <v>505</v>
      </c>
      <c r="G36" s="437">
        <v>400</v>
      </c>
      <c r="H36" s="124" t="s">
        <v>403</v>
      </c>
      <c r="U36" s="126"/>
    </row>
    <row r="37" spans="2:21" ht="15.75" thickBot="1">
      <c r="B37" s="128"/>
      <c r="C37" s="129"/>
      <c r="D37" s="129"/>
      <c r="E37" s="129"/>
      <c r="F37" s="129"/>
      <c r="G37" s="129"/>
      <c r="H37" s="129"/>
      <c r="I37" s="129"/>
      <c r="J37" s="129"/>
      <c r="K37" s="129"/>
      <c r="L37" s="129"/>
      <c r="M37" s="129"/>
      <c r="N37" s="129"/>
      <c r="O37" s="129"/>
      <c r="P37" s="129"/>
      <c r="Q37" s="129"/>
      <c r="R37" s="129"/>
      <c r="S37" s="129"/>
      <c r="T37" s="129"/>
      <c r="U37" s="130"/>
    </row>
    <row r="39" spans="2:21">
      <c r="K39" s="177"/>
      <c r="L39" s="177"/>
      <c r="M39" s="177"/>
      <c r="N39" s="177"/>
      <c r="O39" s="177"/>
    </row>
    <row r="40" spans="2:21">
      <c r="K40" s="177"/>
      <c r="L40" s="177"/>
      <c r="M40" s="177"/>
      <c r="N40" s="177"/>
      <c r="O40" s="177"/>
      <c r="P40" s="177"/>
      <c r="Q40" s="177"/>
      <c r="R40" s="177"/>
      <c r="S40" s="177"/>
    </row>
    <row r="41" spans="2:21">
      <c r="K41" s="177"/>
      <c r="L41" s="177"/>
      <c r="M41" s="177"/>
      <c r="N41" s="177"/>
      <c r="O41" s="177"/>
      <c r="P41" s="177"/>
      <c r="Q41" s="177"/>
      <c r="R41" s="177"/>
      <c r="S41" s="177"/>
    </row>
    <row r="42" spans="2:21">
      <c r="K42" s="177"/>
      <c r="L42" s="177"/>
      <c r="M42" s="177"/>
      <c r="N42" s="177"/>
      <c r="O42" s="177"/>
      <c r="P42" s="177"/>
      <c r="Q42" s="177"/>
      <c r="R42" s="177"/>
      <c r="S42" s="177"/>
    </row>
    <row r="43" spans="2:21">
      <c r="K43" s="177"/>
      <c r="L43" s="177"/>
      <c r="M43" s="177"/>
      <c r="N43" s="177"/>
      <c r="O43" s="177"/>
      <c r="P43" s="177"/>
      <c r="Q43" s="177"/>
      <c r="R43" s="177"/>
      <c r="S43" s="177"/>
    </row>
    <row r="44" spans="2:21">
      <c r="K44" s="177"/>
      <c r="L44" s="177"/>
      <c r="M44" s="177"/>
      <c r="N44" s="177"/>
      <c r="O44" s="177"/>
      <c r="P44" s="177"/>
      <c r="Q44" s="177"/>
      <c r="R44" s="177"/>
      <c r="S44" s="177"/>
    </row>
    <row r="45" spans="2:21">
      <c r="K45" s="177"/>
      <c r="L45" s="177"/>
      <c r="M45" s="177"/>
      <c r="N45" s="177"/>
      <c r="O45" s="177"/>
      <c r="P45" s="177"/>
      <c r="Q45" s="177"/>
      <c r="R45" s="177"/>
      <c r="S45" s="177"/>
    </row>
    <row r="46" spans="2:21">
      <c r="K46" s="177"/>
      <c r="L46" s="177"/>
      <c r="M46" s="177"/>
      <c r="N46" s="177"/>
      <c r="O46" s="177"/>
      <c r="P46" s="177"/>
      <c r="Q46" s="177"/>
      <c r="R46" s="177"/>
      <c r="S46" s="177"/>
    </row>
  </sheetData>
  <sheetProtection algorithmName="SHA-512" hashValue="XykKTMHLl/i0W2NYa8mEMDh5g3jjaIK0YDYgBOKlw1dAubbQqGpk7jcLNTIiwqgfujmTbhNb8ZsCToNQ2e/m0Q==" saltValue="4OsUs+qE7Anvw8rv0q5IeQ==" spinCount="100000" sheet="1" objects="1" scenarios="1" selectLockedCells="1"/>
  <mergeCells count="13">
    <mergeCell ref="M25:N25"/>
    <mergeCell ref="M26:N26"/>
    <mergeCell ref="M27:N27"/>
    <mergeCell ref="M28:N28"/>
    <mergeCell ref="M29:N29"/>
    <mergeCell ref="M24:N24"/>
    <mergeCell ref="N13:O13"/>
    <mergeCell ref="N14:O14"/>
    <mergeCell ref="M19:N19"/>
    <mergeCell ref="M20:N20"/>
    <mergeCell ref="M21:N21"/>
    <mergeCell ref="M22:N22"/>
    <mergeCell ref="M23:N23"/>
  </mergeCells>
  <dataValidations count="5">
    <dataValidation type="list" allowBlank="1" showInputMessage="1" showErrorMessage="1" sqref="G34" xr:uid="{F42BFAC9-7B54-4D29-BA2C-C01826D2FE2D}">
      <formula1>"Steel, Ecoboard (plastic), Ecoboard (timber)"</formula1>
    </dataValidation>
    <dataValidation type="list" allowBlank="1" showInputMessage="1" showErrorMessage="1" sqref="G35" xr:uid="{C491CB5E-C146-4867-914C-E256B2572B82}">
      <formula1>"Paper/card, Straw, EPS"</formula1>
    </dataValidation>
    <dataValidation type="list" allowBlank="1" showInputMessage="1" showErrorMessage="1" sqref="G31" xr:uid="{4635D895-6B8D-45D0-A86B-D47AAEEF8D28}">
      <formula1>"Yes, No"</formula1>
    </dataValidation>
    <dataValidation type="list" allowBlank="1" showInputMessage="1" showErrorMessage="1" sqref="R20:R29 P20:P29 M20:N29" xr:uid="{02DE191D-ED97-42C3-B215-F2422A140DA8}">
      <formula1>"Air, Sea, Road (EU), Road (Africa), Rail (EU), Rail (Africa), None"</formula1>
    </dataValidation>
    <dataValidation type="list" allowBlank="1" showInputMessage="1" showErrorMessage="1" sqref="N31" xr:uid="{46EC302E-CBFA-440F-AC03-BBD368883B4F}">
      <formula1>"600a, 134a"</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6">
        <x14:dataValidation type="list" allowBlank="1" showInputMessage="1" showErrorMessage="1" xr:uid="{C0E9F3FE-A4CB-46C9-9C4F-724AB807CB3B}">
          <x14:formula1>
            <xm:f>Foundations!$B$1:$C$1</xm:f>
          </x14:formula1>
          <xm:sqref>G23</xm:sqref>
        </x14:dataValidation>
        <x14:dataValidation type="list" allowBlank="1" showInputMessage="1" showErrorMessage="1" xr:uid="{458E6659-BB4A-4246-A8CF-0C3F36F37A7F}">
          <x14:formula1>
            <xm:f>Timber!$B$1:$C$1</xm:f>
          </x14:formula1>
          <xm:sqref>G20:G21</xm:sqref>
        </x14:dataValidation>
        <x14:dataValidation type="list" allowBlank="1" showInputMessage="1" showErrorMessage="1" xr:uid="{10AE00F7-13E8-437E-B607-53E43C50A9CA}">
          <x14:formula1>
            <xm:f>Ecoboards!$A$2:$A$3</xm:f>
          </x14:formula1>
          <xm:sqref>G13</xm:sqref>
        </x14:dataValidation>
        <x14:dataValidation type="list" allowBlank="1" showInputMessage="1" showErrorMessage="1" xr:uid="{FC75A5D0-B6F7-4D99-806A-DD7FCA549B0B}">
          <x14:formula1>
            <xm:f>'Water tank'!$H$2:$J$2</xm:f>
          </x14:formula1>
          <xm:sqref>G27</xm:sqref>
        </x14:dataValidation>
        <x14:dataValidation type="list" allowBlank="1" showInputMessage="1" showErrorMessage="1" xr:uid="{CD8EF820-DA97-4253-ABE1-87CF85A92CF9}">
          <x14:formula1>
            <xm:f>Batteries!$B$1:$J$1</xm:f>
          </x14:formula1>
          <xm:sqref>N13:O13</xm:sqref>
        </x14:dataValidation>
        <x14:dataValidation type="list" allowBlank="1" showInputMessage="1" showErrorMessage="1" xr:uid="{034C694B-10C7-407A-A24C-AF0653154FCD}">
          <x14:formula1>
            <xm:f>PV!$B$1:$E$1</xm:f>
          </x14:formula1>
          <xm:sqref>N14:O14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4" tint="-0.499984740745262"/>
  </sheetPr>
  <dimension ref="A1:AA998"/>
  <sheetViews>
    <sheetView showGridLines="0" zoomScale="70" zoomScaleNormal="70" workbookViewId="0"/>
  </sheetViews>
  <sheetFormatPr baseColWidth="10" defaultColWidth="14.42578125" defaultRowHeight="15" customHeight="1"/>
  <cols>
    <col min="1" max="1" width="7.140625" customWidth="1"/>
    <col min="2" max="2" width="8.42578125" style="77" customWidth="1"/>
    <col min="3" max="3" width="10.7109375" customWidth="1"/>
    <col min="4" max="4" width="19.7109375" customWidth="1"/>
    <col min="5" max="5" width="13.85546875" customWidth="1"/>
    <col min="6" max="6" width="10.7109375" customWidth="1"/>
    <col min="7" max="7" width="5.5703125" customWidth="1"/>
    <col min="8" max="8" width="3.85546875" customWidth="1"/>
    <col min="9" max="9" width="25" customWidth="1"/>
    <col min="10" max="10" width="4" customWidth="1"/>
    <col min="11" max="11" width="12.140625" customWidth="1"/>
    <col min="12" max="12" width="10.7109375" customWidth="1"/>
    <col min="13" max="13" width="10" customWidth="1"/>
    <col min="14" max="27" width="10.7109375" customWidth="1"/>
  </cols>
  <sheetData>
    <row r="1" spans="1:27" ht="14.25" customHeight="1">
      <c r="A1" s="217"/>
      <c r="B1" s="83"/>
      <c r="C1" s="91"/>
      <c r="D1" s="91"/>
      <c r="E1" s="91"/>
      <c r="F1" s="91"/>
      <c r="G1" s="91"/>
      <c r="H1" s="91"/>
      <c r="I1" s="91"/>
      <c r="J1" s="91"/>
      <c r="K1" s="91"/>
      <c r="L1" s="91"/>
      <c r="M1" s="91"/>
      <c r="N1" s="76"/>
      <c r="O1" s="93"/>
      <c r="P1" s="2"/>
      <c r="Q1" s="2"/>
      <c r="R1" s="2"/>
      <c r="S1" s="2"/>
      <c r="T1" s="2"/>
      <c r="U1" s="2"/>
      <c r="V1" s="2"/>
      <c r="W1" s="2"/>
      <c r="X1" s="2"/>
      <c r="Y1" s="2"/>
      <c r="Z1" s="2"/>
      <c r="AA1" s="2"/>
    </row>
    <row r="2" spans="1:27" ht="14.25" customHeight="1" thickBot="1">
      <c r="A2" s="217"/>
      <c r="B2" s="83"/>
      <c r="C2" s="93"/>
      <c r="D2" s="93"/>
      <c r="E2" s="93"/>
      <c r="F2" s="93"/>
      <c r="G2" s="93"/>
      <c r="H2" s="93"/>
      <c r="I2" s="93"/>
      <c r="J2" s="93"/>
      <c r="K2" s="93"/>
      <c r="L2" s="93"/>
      <c r="M2" s="93"/>
      <c r="N2" s="76"/>
      <c r="O2" s="93"/>
      <c r="P2" s="2"/>
      <c r="Q2" s="2"/>
      <c r="R2" s="2"/>
      <c r="S2" s="2"/>
      <c r="T2" s="2"/>
      <c r="U2" s="2"/>
      <c r="V2" s="2"/>
      <c r="W2" s="2"/>
      <c r="X2" s="2"/>
      <c r="Y2" s="2"/>
      <c r="Z2" s="2"/>
      <c r="AA2" s="2"/>
    </row>
    <row r="3" spans="1:27" ht="14.25" customHeight="1">
      <c r="A3" s="217"/>
      <c r="B3" s="80"/>
      <c r="C3" s="373" t="str">
        <f>Translation!B124</f>
        <v>Results</v>
      </c>
      <c r="D3" s="374"/>
      <c r="E3" s="374"/>
      <c r="F3" s="374"/>
      <c r="G3" s="374"/>
      <c r="H3" s="374"/>
      <c r="I3" s="374"/>
      <c r="J3" s="374"/>
      <c r="K3" s="374"/>
      <c r="L3" s="374"/>
      <c r="M3" s="108"/>
      <c r="N3" s="108"/>
      <c r="O3" s="108"/>
      <c r="P3" s="109"/>
      <c r="Q3" s="109"/>
      <c r="R3" s="109"/>
      <c r="S3" s="109"/>
      <c r="T3" s="109"/>
      <c r="U3" s="109"/>
      <c r="V3" s="109"/>
      <c r="W3" s="109"/>
      <c r="X3" s="109"/>
      <c r="Y3" s="109"/>
      <c r="Z3" s="110"/>
      <c r="AA3" s="2"/>
    </row>
    <row r="4" spans="1:27" ht="14.25" customHeight="1">
      <c r="A4" s="217"/>
      <c r="B4" s="82"/>
      <c r="C4" s="76"/>
      <c r="D4" s="76"/>
      <c r="E4" s="76"/>
      <c r="F4" s="76"/>
      <c r="G4" s="76"/>
      <c r="H4" s="76"/>
      <c r="I4" s="76"/>
      <c r="J4" s="76"/>
      <c r="K4" s="76"/>
      <c r="L4" s="76"/>
      <c r="M4" s="76"/>
      <c r="N4" s="76"/>
      <c r="O4" s="76"/>
      <c r="P4" s="75"/>
      <c r="Q4" s="75"/>
      <c r="R4" s="75"/>
      <c r="S4" s="75"/>
      <c r="T4" s="75"/>
      <c r="U4" s="75"/>
      <c r="V4" s="75"/>
      <c r="W4" s="75"/>
      <c r="X4" s="75"/>
      <c r="Y4" s="75"/>
      <c r="Z4" s="112"/>
      <c r="AA4" s="2"/>
    </row>
    <row r="5" spans="1:27" ht="14.25" customHeight="1" thickBot="1">
      <c r="A5" s="217"/>
      <c r="B5" s="82"/>
      <c r="C5" s="76"/>
      <c r="D5" s="76"/>
      <c r="E5" s="76"/>
      <c r="F5" s="76"/>
      <c r="G5" s="76"/>
      <c r="H5" s="76"/>
      <c r="I5" s="76"/>
      <c r="J5" s="76"/>
      <c r="K5" s="76"/>
      <c r="L5" s="76"/>
      <c r="M5" s="76"/>
      <c r="N5" s="76"/>
      <c r="O5" s="76"/>
      <c r="P5" s="75"/>
      <c r="Q5" s="75"/>
      <c r="R5" s="75"/>
      <c r="S5" s="75"/>
      <c r="T5" s="75"/>
      <c r="U5" s="75"/>
      <c r="V5" s="75"/>
      <c r="W5" s="75"/>
      <c r="X5" s="75"/>
      <c r="Y5" s="75"/>
      <c r="Z5" s="112"/>
      <c r="AA5" s="2"/>
    </row>
    <row r="6" spans="1:27" ht="24.75" customHeight="1">
      <c r="A6" s="217"/>
      <c r="B6" s="82"/>
      <c r="C6" s="375" t="str">
        <f>Translation!B125</f>
        <v>System design (Secondary system)</v>
      </c>
      <c r="D6" s="376"/>
      <c r="E6" s="376"/>
      <c r="F6" s="319"/>
      <c r="G6" s="320"/>
      <c r="H6" s="310"/>
      <c r="I6" s="375" t="str">
        <f>Translation!B136</f>
        <v>System design (Primary system)</v>
      </c>
      <c r="J6" s="376"/>
      <c r="K6" s="376"/>
      <c r="L6" s="313"/>
      <c r="M6" s="311" t="s">
        <v>22</v>
      </c>
      <c r="N6" s="76"/>
      <c r="O6" s="76"/>
      <c r="P6" s="75"/>
      <c r="Q6" s="75"/>
      <c r="R6" s="75"/>
      <c r="S6" s="75"/>
      <c r="T6" s="75"/>
      <c r="U6" s="75"/>
      <c r="V6" s="75"/>
      <c r="W6" s="75"/>
      <c r="X6" s="75"/>
      <c r="Y6" s="75"/>
      <c r="Z6" s="112"/>
      <c r="AA6" s="2"/>
    </row>
    <row r="7" spans="1:27" ht="14.25" customHeight="1">
      <c r="A7" s="217"/>
      <c r="B7" s="82"/>
      <c r="C7" s="314" t="s">
        <v>23</v>
      </c>
      <c r="D7" s="118"/>
      <c r="E7" s="118"/>
      <c r="F7" s="118"/>
      <c r="G7" s="304"/>
      <c r="H7" s="76"/>
      <c r="I7" s="314" t="s">
        <v>24</v>
      </c>
      <c r="J7" s="118"/>
      <c r="K7" s="118"/>
      <c r="L7" s="312"/>
      <c r="M7" s="118"/>
      <c r="N7" s="76"/>
      <c r="O7" s="76"/>
      <c r="P7" s="75"/>
      <c r="Q7" s="75"/>
      <c r="R7" s="75"/>
      <c r="S7" s="75"/>
      <c r="T7" s="75"/>
      <c r="U7" s="75"/>
      <c r="V7" s="75"/>
      <c r="W7" s="75"/>
      <c r="X7" s="75"/>
      <c r="Y7" s="75"/>
      <c r="Z7" s="112"/>
      <c r="AA7" s="2"/>
    </row>
    <row r="8" spans="1:27" ht="14.25" customHeight="1">
      <c r="A8" s="217"/>
      <c r="B8" s="82"/>
      <c r="C8" s="262"/>
      <c r="D8" s="118"/>
      <c r="E8" s="218"/>
      <c r="F8" s="118"/>
      <c r="G8" s="304"/>
      <c r="H8" s="76"/>
      <c r="I8" s="262" t="s">
        <v>25</v>
      </c>
      <c r="J8" s="118"/>
      <c r="K8" s="218">
        <f>'Calculation Sheet'!N13</f>
        <v>11.947879744232267</v>
      </c>
      <c r="L8" s="312" t="s">
        <v>26</v>
      </c>
      <c r="M8" s="118"/>
      <c r="N8" s="76"/>
      <c r="O8" s="76"/>
      <c r="P8" s="75"/>
      <c r="Q8" s="75"/>
      <c r="R8" s="75"/>
      <c r="S8" s="75"/>
      <c r="T8" s="75"/>
      <c r="U8" s="75"/>
      <c r="V8" s="75"/>
      <c r="W8" s="75"/>
      <c r="X8" s="75"/>
      <c r="Y8" s="75"/>
      <c r="Z8" s="112"/>
      <c r="AA8" s="2"/>
    </row>
    <row r="9" spans="1:27" ht="14.25" customHeight="1">
      <c r="A9" s="217"/>
      <c r="B9" s="82"/>
      <c r="C9" s="262"/>
      <c r="D9" s="118"/>
      <c r="E9" s="218"/>
      <c r="F9" s="118"/>
      <c r="G9" s="304"/>
      <c r="H9" s="76"/>
      <c r="I9" s="262" t="s">
        <v>383</v>
      </c>
      <c r="J9" s="118"/>
      <c r="K9" s="218">
        <f>'Calculation Sheet'!N15</f>
        <v>1.8410298507462683</v>
      </c>
      <c r="L9" s="312" t="s">
        <v>27</v>
      </c>
      <c r="M9" s="219"/>
      <c r="N9" s="76"/>
      <c r="O9" s="76"/>
      <c r="P9" s="75"/>
      <c r="Q9" s="75"/>
      <c r="R9" s="75"/>
      <c r="S9" s="75"/>
      <c r="T9" s="75"/>
      <c r="U9" s="75"/>
      <c r="V9" s="75"/>
      <c r="W9" s="75"/>
      <c r="X9" s="75"/>
      <c r="Y9" s="75"/>
      <c r="Z9" s="112"/>
      <c r="AA9" s="2"/>
    </row>
    <row r="10" spans="1:27" ht="14.25" customHeight="1">
      <c r="A10" s="217"/>
      <c r="B10" s="82"/>
      <c r="C10" s="262" t="s">
        <v>28</v>
      </c>
      <c r="D10" s="118"/>
      <c r="E10" s="218">
        <f>'Calculation Sheet'!N16</f>
        <v>0.83160000000000001</v>
      </c>
      <c r="F10" s="118" t="s">
        <v>26</v>
      </c>
      <c r="G10" s="304"/>
      <c r="H10" s="76"/>
      <c r="I10" s="262" t="s">
        <v>28</v>
      </c>
      <c r="J10" s="118"/>
      <c r="K10" s="218">
        <f>'Calculation Sheet'!N17</f>
        <v>6.4897805646058098</v>
      </c>
      <c r="L10" s="312" t="s">
        <v>26</v>
      </c>
      <c r="M10" s="220">
        <f>E10+K10</f>
        <v>7.3213805646058097</v>
      </c>
      <c r="N10" s="117" t="s">
        <v>26</v>
      </c>
      <c r="O10" s="76"/>
      <c r="P10" s="75"/>
      <c r="Q10" s="75"/>
      <c r="R10" s="75"/>
      <c r="S10" s="75"/>
      <c r="T10" s="75"/>
      <c r="U10" s="75"/>
      <c r="V10" s="75"/>
      <c r="W10" s="75"/>
      <c r="X10" s="75"/>
      <c r="Y10" s="75"/>
      <c r="Z10" s="112"/>
      <c r="AA10" s="2"/>
    </row>
    <row r="11" spans="1:27" ht="14.25" customHeight="1">
      <c r="A11" s="217"/>
      <c r="B11" s="82"/>
      <c r="C11" s="262"/>
      <c r="D11" s="118"/>
      <c r="E11" s="221"/>
      <c r="F11" s="118"/>
      <c r="G11" s="304"/>
      <c r="H11" s="76"/>
      <c r="I11" s="262" t="s">
        <v>29</v>
      </c>
      <c r="J11" s="118"/>
      <c r="K11" s="221">
        <f>K12*50+200</f>
        <v>500</v>
      </c>
      <c r="L11" s="312" t="s">
        <v>30</v>
      </c>
      <c r="M11" s="222"/>
      <c r="N11" s="106"/>
      <c r="O11" s="76"/>
      <c r="P11" s="75"/>
      <c r="Q11" s="75"/>
      <c r="R11" s="75"/>
      <c r="S11" s="75"/>
      <c r="T11" s="75"/>
      <c r="U11" s="75"/>
      <c r="V11" s="75"/>
      <c r="W11" s="75"/>
      <c r="X11" s="75"/>
      <c r="Y11" s="75"/>
      <c r="Z11" s="112"/>
      <c r="AA11" s="2"/>
    </row>
    <row r="12" spans="1:27" ht="14.25" customHeight="1">
      <c r="A12" s="217"/>
      <c r="B12" s="82"/>
      <c r="C12" s="262"/>
      <c r="D12" s="118"/>
      <c r="E12" s="223"/>
      <c r="F12" s="118"/>
      <c r="G12" s="304"/>
      <c r="H12" s="76"/>
      <c r="I12" s="262" t="str">
        <f>Translation!B126</f>
        <v>Cooling units needed:</v>
      </c>
      <c r="J12" s="118"/>
      <c r="K12" s="223">
        <f>'Calculation Sheet'!P20</f>
        <v>6</v>
      </c>
      <c r="L12" s="312" t="s">
        <v>31</v>
      </c>
      <c r="M12" s="222"/>
      <c r="N12" s="106"/>
      <c r="O12" s="76"/>
      <c r="P12" s="75"/>
      <c r="Q12" s="75"/>
      <c r="R12" s="75"/>
      <c r="S12" s="75"/>
      <c r="T12" s="75"/>
      <c r="U12" s="75"/>
      <c r="V12" s="75"/>
      <c r="W12" s="75"/>
      <c r="X12" s="75"/>
      <c r="Y12" s="75"/>
      <c r="Z12" s="112"/>
      <c r="AA12" s="2"/>
    </row>
    <row r="13" spans="1:27" ht="14.25" customHeight="1">
      <c r="A13" s="217"/>
      <c r="B13" s="82"/>
      <c r="C13" s="262"/>
      <c r="D13" s="118"/>
      <c r="E13" s="221"/>
      <c r="F13" s="118"/>
      <c r="G13" s="304"/>
      <c r="H13" s="76"/>
      <c r="I13" s="262"/>
      <c r="J13" s="118"/>
      <c r="K13" s="221"/>
      <c r="L13" s="312"/>
      <c r="M13" s="222"/>
      <c r="N13" s="106"/>
      <c r="O13" s="76"/>
      <c r="P13" s="75"/>
      <c r="Q13" s="75"/>
      <c r="R13" s="75"/>
      <c r="S13" s="75"/>
      <c r="T13" s="75"/>
      <c r="U13" s="75"/>
      <c r="V13" s="75"/>
      <c r="W13" s="75"/>
      <c r="X13" s="75"/>
      <c r="Y13" s="75"/>
      <c r="Z13" s="112"/>
      <c r="AA13" s="2"/>
    </row>
    <row r="14" spans="1:27" ht="14.25" customHeight="1">
      <c r="A14" s="217"/>
      <c r="B14" s="82"/>
      <c r="C14" s="262"/>
      <c r="D14" s="118"/>
      <c r="E14" s="221"/>
      <c r="F14" s="118"/>
      <c r="G14" s="304"/>
      <c r="H14" s="76"/>
      <c r="I14" s="262"/>
      <c r="J14" s="118"/>
      <c r="K14" s="221"/>
      <c r="L14" s="312"/>
      <c r="M14" s="222"/>
      <c r="N14" s="106"/>
      <c r="O14" s="76"/>
      <c r="P14" s="75"/>
      <c r="Q14" s="75"/>
      <c r="R14" s="75"/>
      <c r="S14" s="75"/>
      <c r="T14" s="75"/>
      <c r="U14" s="75"/>
      <c r="V14" s="75"/>
      <c r="W14" s="75"/>
      <c r="X14" s="75"/>
      <c r="Y14" s="75"/>
      <c r="Z14" s="112"/>
      <c r="AA14" s="2"/>
    </row>
    <row r="15" spans="1:27" ht="14.25" customHeight="1">
      <c r="A15" s="217"/>
      <c r="B15" s="82"/>
      <c r="C15" s="262" t="str">
        <f>Translation!B128</f>
        <v>Solar PV size:</v>
      </c>
      <c r="D15" s="118"/>
      <c r="E15" s="223">
        <f>'Calculation Sheet'!$P$19</f>
        <v>313</v>
      </c>
      <c r="F15" s="118" t="s">
        <v>32</v>
      </c>
      <c r="G15" s="304"/>
      <c r="H15" s="76"/>
      <c r="I15" s="262" t="str">
        <f>Translation!B128</f>
        <v>Solar PV size:</v>
      </c>
      <c r="J15" s="118"/>
      <c r="K15" s="223">
        <f>'Calculation Sheet'!P21</f>
        <v>3501</v>
      </c>
      <c r="L15" s="312" t="s">
        <v>32</v>
      </c>
      <c r="M15" s="254">
        <f>E15+K15</f>
        <v>3814</v>
      </c>
      <c r="N15" s="117" t="s">
        <v>32</v>
      </c>
      <c r="O15" s="76"/>
      <c r="P15" s="75"/>
      <c r="Q15" s="75"/>
      <c r="R15" s="75"/>
      <c r="S15" s="75"/>
      <c r="T15" s="75"/>
      <c r="U15" s="75"/>
      <c r="V15" s="75"/>
      <c r="W15" s="75"/>
      <c r="X15" s="75"/>
      <c r="Y15" s="75"/>
      <c r="Z15" s="112"/>
      <c r="AA15" s="2"/>
    </row>
    <row r="16" spans="1:27" ht="14.25" customHeight="1">
      <c r="A16" s="217"/>
      <c r="B16" s="82"/>
      <c r="C16" s="262"/>
      <c r="D16" s="118"/>
      <c r="E16" s="221"/>
      <c r="F16" s="118"/>
      <c r="G16" s="304"/>
      <c r="H16" s="76"/>
      <c r="I16" s="262"/>
      <c r="J16" s="118"/>
      <c r="K16" s="221"/>
      <c r="L16" s="312"/>
      <c r="M16" s="219"/>
      <c r="N16" s="118"/>
      <c r="O16" s="76"/>
      <c r="P16" s="77"/>
      <c r="Q16" s="75"/>
      <c r="R16" s="75"/>
      <c r="S16" s="75"/>
      <c r="T16" s="75"/>
      <c r="U16" s="75"/>
      <c r="V16" s="75"/>
      <c r="W16" s="75"/>
      <c r="X16" s="75"/>
      <c r="Y16" s="75"/>
      <c r="Z16" s="112"/>
      <c r="AA16" s="2"/>
    </row>
    <row r="17" spans="1:27" ht="14.25" customHeight="1">
      <c r="A17" s="217"/>
      <c r="B17" s="82"/>
      <c r="C17" s="262"/>
      <c r="D17" s="118"/>
      <c r="E17" s="221"/>
      <c r="F17" s="118"/>
      <c r="G17" s="304"/>
      <c r="H17" s="76"/>
      <c r="I17" s="262"/>
      <c r="J17" s="118"/>
      <c r="K17" s="221"/>
      <c r="L17" s="312"/>
      <c r="M17" s="222"/>
      <c r="N17" s="106"/>
      <c r="O17" s="76"/>
      <c r="P17" s="75"/>
      <c r="Q17" s="75"/>
      <c r="R17" s="75"/>
      <c r="S17" s="75"/>
      <c r="T17" s="75"/>
      <c r="U17" s="75"/>
      <c r="V17" s="75"/>
      <c r="W17" s="75"/>
      <c r="X17" s="75"/>
      <c r="Y17" s="75"/>
      <c r="Z17" s="112"/>
      <c r="AA17" s="2"/>
    </row>
    <row r="18" spans="1:27" ht="14.25" customHeight="1">
      <c r="A18" s="217"/>
      <c r="B18" s="82"/>
      <c r="C18" s="262" t="str">
        <f>Translation!B130</f>
        <v>Battery size:</v>
      </c>
      <c r="D18" s="118"/>
      <c r="E18" s="223">
        <f>'Calculation Sheet'!P23</f>
        <v>78</v>
      </c>
      <c r="F18" s="118" t="s">
        <v>827</v>
      </c>
      <c r="G18" s="304"/>
      <c r="H18" s="76"/>
      <c r="I18" s="262" t="str">
        <f>Translation!B130</f>
        <v>Battery size:</v>
      </c>
      <c r="J18" s="118"/>
      <c r="K18" s="223">
        <f>'Calculation Sheet'!P22</f>
        <v>365</v>
      </c>
      <c r="L18" s="312" t="s">
        <v>827</v>
      </c>
      <c r="M18" s="224">
        <f>E18+K18</f>
        <v>443</v>
      </c>
      <c r="N18" s="117" t="s">
        <v>827</v>
      </c>
      <c r="O18" s="76"/>
      <c r="P18" s="75"/>
      <c r="Q18" s="75"/>
      <c r="R18" s="75"/>
      <c r="S18" s="75"/>
      <c r="T18" s="75"/>
      <c r="U18" s="75"/>
      <c r="V18" s="75"/>
      <c r="W18" s="75"/>
      <c r="X18" s="75"/>
      <c r="Y18" s="75"/>
      <c r="Z18" s="112"/>
      <c r="AA18" s="2"/>
    </row>
    <row r="19" spans="1:27" ht="14.25" customHeight="1" thickBot="1">
      <c r="A19" s="217"/>
      <c r="B19" s="82"/>
      <c r="C19" s="315"/>
      <c r="D19" s="316"/>
      <c r="E19" s="317"/>
      <c r="F19" s="316"/>
      <c r="G19" s="234"/>
      <c r="H19" s="76"/>
      <c r="I19" s="315"/>
      <c r="J19" s="316"/>
      <c r="K19" s="317"/>
      <c r="L19" s="318"/>
      <c r="M19" s="225"/>
      <c r="N19" s="118"/>
      <c r="O19" s="76"/>
      <c r="P19" s="75"/>
      <c r="Q19" s="75"/>
      <c r="R19" s="75"/>
      <c r="S19" s="75"/>
      <c r="T19" s="75"/>
      <c r="U19" s="75"/>
      <c r="V19" s="75"/>
      <c r="W19" s="75"/>
      <c r="X19" s="75"/>
      <c r="Y19" s="75"/>
      <c r="Z19" s="112"/>
      <c r="AA19" s="2"/>
    </row>
    <row r="20" spans="1:27" ht="14.25" customHeight="1">
      <c r="A20" s="217"/>
      <c r="B20" s="82"/>
      <c r="C20" s="226"/>
      <c r="D20" s="226"/>
      <c r="E20" s="227"/>
      <c r="F20" s="226"/>
      <c r="G20" s="76"/>
      <c r="H20" s="76"/>
      <c r="I20" s="106"/>
      <c r="J20" s="106"/>
      <c r="K20" s="228"/>
      <c r="L20" s="106"/>
      <c r="M20" s="118"/>
      <c r="N20" s="76"/>
      <c r="O20" s="76"/>
      <c r="P20" s="75"/>
      <c r="Q20" s="75"/>
      <c r="R20" s="75"/>
      <c r="S20" s="75"/>
      <c r="T20" s="75"/>
      <c r="U20" s="75"/>
      <c r="V20" s="75"/>
      <c r="W20" s="75"/>
      <c r="X20" s="75"/>
      <c r="Y20" s="75"/>
      <c r="Z20" s="112"/>
      <c r="AA20" s="2"/>
    </row>
    <row r="21" spans="1:27" ht="14.25" customHeight="1">
      <c r="A21" s="217"/>
      <c r="B21" s="82"/>
      <c r="C21" s="106"/>
      <c r="D21" s="370" t="s">
        <v>387</v>
      </c>
      <c r="E21" s="370"/>
      <c r="F21" s="106"/>
      <c r="G21" s="76"/>
      <c r="H21" s="76"/>
      <c r="I21" s="369" t="s">
        <v>826</v>
      </c>
      <c r="J21" s="369"/>
      <c r="K21" s="369"/>
      <c r="L21" s="76"/>
      <c r="M21" s="368" t="s">
        <v>392</v>
      </c>
      <c r="N21" s="368"/>
      <c r="O21" s="368"/>
      <c r="P21" s="75"/>
      <c r="Q21" s="75"/>
      <c r="R21" s="75"/>
      <c r="S21" s="75"/>
      <c r="T21" s="75"/>
      <c r="U21" s="75"/>
      <c r="V21" s="75"/>
      <c r="W21" s="75"/>
      <c r="X21" s="75"/>
      <c r="Y21" s="75"/>
      <c r="Z21" s="112"/>
      <c r="AA21" s="2"/>
    </row>
    <row r="22" spans="1:27" ht="14.25" customHeight="1">
      <c r="A22" s="217"/>
      <c r="B22" s="82"/>
      <c r="C22" s="106"/>
      <c r="D22" s="370"/>
      <c r="E22" s="370"/>
      <c r="F22" s="76"/>
      <c r="G22" s="76"/>
      <c r="H22" s="76"/>
      <c r="I22" s="369"/>
      <c r="J22" s="369"/>
      <c r="K22" s="369"/>
      <c r="L22" s="76"/>
      <c r="M22" s="368"/>
      <c r="N22" s="368"/>
      <c r="O22" s="368"/>
      <c r="P22" s="75"/>
      <c r="Q22" s="75"/>
      <c r="R22" s="75"/>
      <c r="S22" s="75"/>
      <c r="T22" s="75"/>
      <c r="U22" s="75"/>
      <c r="V22" s="75"/>
      <c r="W22" s="75"/>
      <c r="X22" s="75"/>
      <c r="Y22" s="75"/>
      <c r="Z22" s="112"/>
      <c r="AA22" s="2"/>
    </row>
    <row r="23" spans="1:27" ht="24" customHeight="1">
      <c r="A23" s="217"/>
      <c r="B23" s="82"/>
      <c r="C23" s="226"/>
      <c r="D23" s="229">
        <f>(E15+K15)/1000</f>
        <v>3.8140000000000001</v>
      </c>
      <c r="E23" s="230" t="s">
        <v>390</v>
      </c>
      <c r="F23" s="122"/>
      <c r="G23" s="122"/>
      <c r="H23" s="122"/>
      <c r="I23" s="230">
        <f>ROUNDUP(1*((M18*24))/1000,0)</f>
        <v>11</v>
      </c>
      <c r="J23" s="122"/>
      <c r="K23" s="231" t="s">
        <v>391</v>
      </c>
      <c r="L23" s="122"/>
      <c r="M23" s="371">
        <f>K12</f>
        <v>6</v>
      </c>
      <c r="N23" s="372"/>
      <c r="O23" s="230" t="s">
        <v>388</v>
      </c>
      <c r="P23" s="75"/>
      <c r="Q23" s="75"/>
      <c r="R23" s="75"/>
      <c r="S23" s="75"/>
      <c r="T23" s="75"/>
      <c r="U23" s="75"/>
      <c r="V23" s="75"/>
      <c r="W23" s="75"/>
      <c r="X23" s="75"/>
      <c r="Y23" s="75"/>
      <c r="Z23" s="112"/>
      <c r="AA23" s="2"/>
    </row>
    <row r="24" spans="1:27" ht="14.25" customHeight="1">
      <c r="A24" s="217"/>
      <c r="B24" s="82"/>
      <c r="C24" s="76"/>
      <c r="D24" s="76"/>
      <c r="E24" s="76"/>
      <c r="F24" s="76"/>
      <c r="G24" s="76"/>
      <c r="H24" s="76"/>
      <c r="I24" s="76"/>
      <c r="J24" s="76"/>
      <c r="K24" s="76"/>
      <c r="L24" s="76"/>
      <c r="M24" s="76"/>
      <c r="N24" s="76"/>
      <c r="O24" s="76"/>
      <c r="P24" s="75"/>
      <c r="Q24" s="75"/>
      <c r="R24" s="75"/>
      <c r="S24" s="75"/>
      <c r="T24" s="75"/>
      <c r="U24" s="75"/>
      <c r="V24" s="75"/>
      <c r="W24" s="75"/>
      <c r="X24" s="75"/>
      <c r="Y24" s="75"/>
      <c r="Z24" s="112"/>
      <c r="AA24" s="2"/>
    </row>
    <row r="25" spans="1:27" ht="14.25" customHeight="1">
      <c r="A25" s="217"/>
      <c r="B25" s="82"/>
      <c r="C25" s="76"/>
      <c r="D25" s="77"/>
      <c r="E25" s="76"/>
      <c r="F25" s="76"/>
      <c r="G25" s="76"/>
      <c r="H25" s="76"/>
      <c r="I25" s="76"/>
      <c r="J25" s="76"/>
      <c r="K25" s="76"/>
      <c r="L25" s="76"/>
      <c r="M25" s="76"/>
      <c r="N25" s="76"/>
      <c r="O25" s="76"/>
      <c r="P25" s="75"/>
      <c r="Q25" s="75"/>
      <c r="R25" s="75"/>
      <c r="S25" s="75"/>
      <c r="T25" s="75"/>
      <c r="U25" s="75"/>
      <c r="V25" s="75"/>
      <c r="W25" s="75"/>
      <c r="X25" s="75"/>
      <c r="Y25" s="75"/>
      <c r="Z25" s="112"/>
      <c r="AA25" s="2"/>
    </row>
    <row r="26" spans="1:27" ht="14.25" customHeight="1">
      <c r="A26" s="217"/>
      <c r="B26" s="82"/>
      <c r="C26" s="76"/>
      <c r="D26" s="77"/>
      <c r="E26" s="76"/>
      <c r="F26" s="76"/>
      <c r="G26" s="76"/>
      <c r="H26" s="76"/>
      <c r="I26" s="76"/>
      <c r="J26" s="76"/>
      <c r="K26" s="76"/>
      <c r="L26" s="76"/>
      <c r="M26" s="76"/>
      <c r="N26" s="76"/>
      <c r="O26" s="76"/>
      <c r="P26" s="75"/>
      <c r="Q26" s="75"/>
      <c r="R26" s="75"/>
      <c r="S26" s="75"/>
      <c r="T26" s="75"/>
      <c r="U26" s="75"/>
      <c r="V26" s="75"/>
      <c r="W26" s="75"/>
      <c r="X26" s="75"/>
      <c r="Y26" s="75"/>
      <c r="Z26" s="112"/>
      <c r="AA26" s="2"/>
    </row>
    <row r="27" spans="1:27" ht="28.5" customHeight="1">
      <c r="A27" s="217"/>
      <c r="B27" s="82"/>
      <c r="C27" s="76"/>
      <c r="D27" s="77"/>
      <c r="E27" s="77"/>
      <c r="F27" s="76"/>
      <c r="G27" s="76"/>
      <c r="H27" s="76"/>
      <c r="I27" s="76"/>
      <c r="J27" s="76"/>
      <c r="K27" s="76"/>
      <c r="L27" s="76"/>
      <c r="M27" s="76"/>
      <c r="N27" s="76"/>
      <c r="O27" s="76"/>
      <c r="P27" s="75"/>
      <c r="Q27" s="75"/>
      <c r="R27" s="75"/>
      <c r="S27" s="75"/>
      <c r="T27" s="75"/>
      <c r="U27" s="75"/>
      <c r="V27" s="75"/>
      <c r="W27" s="75"/>
      <c r="X27" s="75"/>
      <c r="Y27" s="75"/>
      <c r="Z27" s="112"/>
      <c r="AA27" s="2"/>
    </row>
    <row r="28" spans="1:27" ht="21.75" customHeight="1">
      <c r="A28" s="217"/>
      <c r="B28" s="82"/>
      <c r="C28" s="76"/>
      <c r="D28" s="77"/>
      <c r="E28" s="77"/>
      <c r="F28" s="76"/>
      <c r="G28" s="76"/>
      <c r="H28" s="76"/>
      <c r="I28" s="76"/>
      <c r="J28" s="76"/>
      <c r="K28" s="76"/>
      <c r="L28" s="76"/>
      <c r="M28" s="76"/>
      <c r="N28" s="76"/>
      <c r="O28" s="76"/>
      <c r="P28" s="75"/>
      <c r="Q28" s="75"/>
      <c r="R28" s="75"/>
      <c r="S28" s="75"/>
      <c r="T28" s="75"/>
      <c r="U28" s="75"/>
      <c r="V28" s="75"/>
      <c r="W28" s="75"/>
      <c r="X28" s="75"/>
      <c r="Y28" s="75"/>
      <c r="Z28" s="112"/>
      <c r="AA28" s="2"/>
    </row>
    <row r="29" spans="1:27" ht="14.25" customHeight="1">
      <c r="A29" s="217"/>
      <c r="B29" s="82"/>
      <c r="C29" s="76"/>
      <c r="D29" s="76"/>
      <c r="E29" s="76"/>
      <c r="F29" s="76"/>
      <c r="G29" s="76"/>
      <c r="H29" s="76"/>
      <c r="I29" s="76"/>
      <c r="J29" s="76"/>
      <c r="K29" s="76"/>
      <c r="L29" s="76"/>
      <c r="M29" s="76"/>
      <c r="N29" s="76"/>
      <c r="O29" s="76"/>
      <c r="P29" s="75"/>
      <c r="Q29" s="75"/>
      <c r="R29" s="75"/>
      <c r="S29" s="75"/>
      <c r="T29" s="75"/>
      <c r="U29" s="75"/>
      <c r="V29" s="75"/>
      <c r="W29" s="75"/>
      <c r="X29" s="75"/>
      <c r="Y29" s="75"/>
      <c r="Z29" s="112"/>
      <c r="AA29" s="2"/>
    </row>
    <row r="30" spans="1:27" ht="14.25" customHeight="1">
      <c r="A30" s="217"/>
      <c r="B30" s="82"/>
      <c r="C30" s="76"/>
      <c r="D30" s="76"/>
      <c r="E30" s="76"/>
      <c r="F30" s="76"/>
      <c r="G30" s="76"/>
      <c r="H30" s="76"/>
      <c r="I30" s="76"/>
      <c r="J30" s="76"/>
      <c r="K30" s="76"/>
      <c r="L30" s="76"/>
      <c r="M30" s="76"/>
      <c r="N30" s="76"/>
      <c r="O30" s="76"/>
      <c r="P30" s="75"/>
      <c r="Q30" s="75"/>
      <c r="R30" s="75"/>
      <c r="S30" s="75"/>
      <c r="T30" s="75"/>
      <c r="U30" s="75"/>
      <c r="V30" s="75"/>
      <c r="W30" s="75"/>
      <c r="X30" s="75"/>
      <c r="Y30" s="75"/>
      <c r="Z30" s="112"/>
      <c r="AA30" s="2"/>
    </row>
    <row r="31" spans="1:27" ht="14.25" customHeight="1">
      <c r="A31" s="217"/>
      <c r="B31" s="82"/>
      <c r="C31" s="76"/>
      <c r="D31" s="76"/>
      <c r="E31" s="76"/>
      <c r="F31" s="76"/>
      <c r="G31" s="76"/>
      <c r="H31" s="76"/>
      <c r="I31" s="76"/>
      <c r="J31" s="76"/>
      <c r="K31" s="76"/>
      <c r="L31" s="76"/>
      <c r="M31" s="76"/>
      <c r="N31" s="76"/>
      <c r="O31" s="76"/>
      <c r="P31" s="75"/>
      <c r="Q31" s="75"/>
      <c r="R31" s="75"/>
      <c r="S31" s="75"/>
      <c r="T31" s="75"/>
      <c r="U31" s="75"/>
      <c r="V31" s="75"/>
      <c r="W31" s="75"/>
      <c r="X31" s="75"/>
      <c r="Y31" s="75"/>
      <c r="Z31" s="112"/>
      <c r="AA31" s="2"/>
    </row>
    <row r="32" spans="1:27" ht="14.25" customHeight="1">
      <c r="A32" s="217"/>
      <c r="B32" s="82"/>
      <c r="C32" s="76"/>
      <c r="D32" s="76"/>
      <c r="E32" s="76"/>
      <c r="F32" s="76"/>
      <c r="G32" s="76"/>
      <c r="H32" s="76"/>
      <c r="I32" s="76"/>
      <c r="J32" s="76"/>
      <c r="K32" s="76"/>
      <c r="L32" s="76"/>
      <c r="M32" s="76"/>
      <c r="N32" s="76"/>
      <c r="O32" s="76"/>
      <c r="P32" s="75"/>
      <c r="Q32" s="75"/>
      <c r="R32" s="75"/>
      <c r="S32" s="75"/>
      <c r="T32" s="75"/>
      <c r="U32" s="75"/>
      <c r="V32" s="75"/>
      <c r="W32" s="75"/>
      <c r="X32" s="75"/>
      <c r="Y32" s="75"/>
      <c r="Z32" s="112"/>
      <c r="AA32" s="2"/>
    </row>
    <row r="33" spans="1:27" ht="14.25" customHeight="1">
      <c r="A33" s="217"/>
      <c r="B33" s="82"/>
      <c r="C33" s="76"/>
      <c r="D33" s="76"/>
      <c r="E33" s="76"/>
      <c r="F33" s="76"/>
      <c r="G33" s="76"/>
      <c r="H33" s="76"/>
      <c r="I33" s="76"/>
      <c r="J33" s="76"/>
      <c r="K33" s="76"/>
      <c r="L33" s="76"/>
      <c r="M33" s="77"/>
      <c r="N33" s="76"/>
      <c r="O33" s="76"/>
      <c r="P33" s="75"/>
      <c r="Q33" s="75"/>
      <c r="R33" s="75"/>
      <c r="S33" s="75"/>
      <c r="T33" s="75"/>
      <c r="U33" s="75"/>
      <c r="V33" s="75"/>
      <c r="W33" s="75"/>
      <c r="X33" s="75"/>
      <c r="Y33" s="75"/>
      <c r="Z33" s="112"/>
      <c r="AA33" s="2"/>
    </row>
    <row r="34" spans="1:27" ht="14.25" customHeight="1">
      <c r="A34" s="217"/>
      <c r="B34" s="82"/>
      <c r="C34" s="76"/>
      <c r="D34" s="76"/>
      <c r="E34" s="76"/>
      <c r="F34" s="76"/>
      <c r="G34" s="76"/>
      <c r="H34" s="76"/>
      <c r="I34" s="76"/>
      <c r="J34" s="76"/>
      <c r="K34" s="76"/>
      <c r="L34" s="76"/>
      <c r="M34" s="76"/>
      <c r="N34" s="76"/>
      <c r="O34" s="76"/>
      <c r="P34" s="75"/>
      <c r="Q34" s="75"/>
      <c r="R34" s="75"/>
      <c r="S34" s="75"/>
      <c r="T34" s="75"/>
      <c r="U34" s="75"/>
      <c r="V34" s="75"/>
      <c r="W34" s="75"/>
      <c r="X34" s="75"/>
      <c r="Y34" s="75"/>
      <c r="Z34" s="112"/>
      <c r="AA34" s="2"/>
    </row>
    <row r="35" spans="1:27" ht="14.25" customHeight="1">
      <c r="A35" s="217"/>
      <c r="B35" s="82"/>
      <c r="C35" s="76"/>
      <c r="D35" s="76"/>
      <c r="E35" s="76"/>
      <c r="F35" s="76"/>
      <c r="G35" s="76"/>
      <c r="H35" s="76"/>
      <c r="I35" s="76"/>
      <c r="J35" s="76"/>
      <c r="K35" s="76"/>
      <c r="L35" s="76"/>
      <c r="M35" s="76"/>
      <c r="N35" s="76"/>
      <c r="O35" s="76"/>
      <c r="P35" s="75"/>
      <c r="Q35" s="75"/>
      <c r="R35" s="75"/>
      <c r="S35" s="75"/>
      <c r="T35" s="75"/>
      <c r="U35" s="75"/>
      <c r="V35" s="75"/>
      <c r="W35" s="75"/>
      <c r="X35" s="75"/>
      <c r="Y35" s="75"/>
      <c r="Z35" s="112"/>
      <c r="AA35" s="2"/>
    </row>
    <row r="36" spans="1:27" ht="14.25" customHeight="1">
      <c r="A36" s="217"/>
      <c r="B36" s="82"/>
      <c r="C36" s="76"/>
      <c r="D36" s="76"/>
      <c r="E36" s="76"/>
      <c r="F36" s="76"/>
      <c r="G36" s="76"/>
      <c r="H36" s="76"/>
      <c r="I36" s="76"/>
      <c r="J36" s="76"/>
      <c r="K36" s="76"/>
      <c r="L36" s="76"/>
      <c r="M36" s="76"/>
      <c r="N36" s="76"/>
      <c r="O36" s="76"/>
      <c r="P36" s="75"/>
      <c r="Q36" s="75"/>
      <c r="R36" s="75"/>
      <c r="S36" s="75"/>
      <c r="T36" s="75"/>
      <c r="U36" s="75"/>
      <c r="V36" s="75"/>
      <c r="W36" s="75"/>
      <c r="X36" s="75"/>
      <c r="Y36" s="75"/>
      <c r="Z36" s="112"/>
      <c r="AA36" s="2"/>
    </row>
    <row r="37" spans="1:27" ht="14.25" customHeight="1">
      <c r="A37" s="217"/>
      <c r="B37" s="82"/>
      <c r="C37" s="76"/>
      <c r="D37" s="76"/>
      <c r="E37" s="76"/>
      <c r="F37" s="76"/>
      <c r="G37" s="76"/>
      <c r="H37" s="76"/>
      <c r="I37" s="76"/>
      <c r="J37" s="76"/>
      <c r="K37" s="76"/>
      <c r="L37" s="76"/>
      <c r="M37" s="76"/>
      <c r="N37" s="76"/>
      <c r="O37" s="76"/>
      <c r="P37" s="75"/>
      <c r="Q37" s="75"/>
      <c r="R37" s="75"/>
      <c r="S37" s="75"/>
      <c r="T37" s="75"/>
      <c r="U37" s="75"/>
      <c r="V37" s="75"/>
      <c r="W37" s="75"/>
      <c r="X37" s="75"/>
      <c r="Y37" s="75"/>
      <c r="Z37" s="112"/>
      <c r="AA37" s="2"/>
    </row>
    <row r="38" spans="1:27" ht="14.25" customHeight="1">
      <c r="A38" s="217"/>
      <c r="B38" s="82"/>
      <c r="C38" s="76"/>
      <c r="D38" s="76"/>
      <c r="E38" s="76"/>
      <c r="F38" s="76"/>
      <c r="G38" s="76"/>
      <c r="H38" s="76"/>
      <c r="I38" s="76"/>
      <c r="J38" s="76"/>
      <c r="K38" s="76"/>
      <c r="L38" s="76"/>
      <c r="M38" s="76"/>
      <c r="N38" s="76"/>
      <c r="O38" s="76"/>
      <c r="P38" s="75"/>
      <c r="Q38" s="75"/>
      <c r="R38" s="75"/>
      <c r="S38" s="75"/>
      <c r="T38" s="75"/>
      <c r="U38" s="75"/>
      <c r="V38" s="75"/>
      <c r="W38" s="75"/>
      <c r="X38" s="75"/>
      <c r="Y38" s="75"/>
      <c r="Z38" s="112"/>
      <c r="AA38" s="2"/>
    </row>
    <row r="39" spans="1:27" ht="14.25" customHeight="1">
      <c r="A39" s="217"/>
      <c r="B39" s="82"/>
      <c r="C39" s="76"/>
      <c r="D39" s="76"/>
      <c r="E39" s="76"/>
      <c r="F39" s="76"/>
      <c r="G39" s="76"/>
      <c r="H39" s="76"/>
      <c r="I39" s="76"/>
      <c r="J39" s="76"/>
      <c r="K39" s="76"/>
      <c r="L39" s="76"/>
      <c r="M39" s="76"/>
      <c r="N39" s="76"/>
      <c r="O39" s="76"/>
      <c r="P39" s="75"/>
      <c r="Q39" s="75"/>
      <c r="R39" s="75"/>
      <c r="S39" s="75"/>
      <c r="T39" s="75"/>
      <c r="U39" s="75"/>
      <c r="V39" s="75"/>
      <c r="W39" s="75"/>
      <c r="X39" s="75"/>
      <c r="Y39" s="75"/>
      <c r="Z39" s="112"/>
      <c r="AA39" s="2"/>
    </row>
    <row r="40" spans="1:27" ht="14.25" customHeight="1">
      <c r="A40" s="217"/>
      <c r="B40" s="82"/>
      <c r="C40" s="76"/>
      <c r="D40" s="76"/>
      <c r="E40" s="76"/>
      <c r="F40" s="76"/>
      <c r="G40" s="76"/>
      <c r="H40" s="76"/>
      <c r="I40" s="76"/>
      <c r="J40" s="76"/>
      <c r="K40" s="76"/>
      <c r="L40" s="76"/>
      <c r="M40" s="76"/>
      <c r="N40" s="76"/>
      <c r="O40" s="76"/>
      <c r="P40" s="75"/>
      <c r="Q40" s="75"/>
      <c r="R40" s="75"/>
      <c r="S40" s="75"/>
      <c r="T40" s="75"/>
      <c r="U40" s="75"/>
      <c r="V40" s="75"/>
      <c r="W40" s="75"/>
      <c r="X40" s="75"/>
      <c r="Y40" s="75"/>
      <c r="Z40" s="112"/>
      <c r="AA40" s="2"/>
    </row>
    <row r="41" spans="1:27" ht="14.25" customHeight="1">
      <c r="A41" s="217"/>
      <c r="B41" s="82"/>
      <c r="C41" s="76"/>
      <c r="D41" s="76"/>
      <c r="E41" s="76"/>
      <c r="F41" s="76"/>
      <c r="G41" s="76"/>
      <c r="H41" s="76"/>
      <c r="I41" s="76"/>
      <c r="J41" s="76"/>
      <c r="K41" s="76"/>
      <c r="L41" s="76"/>
      <c r="M41" s="76"/>
      <c r="N41" s="76"/>
      <c r="O41" s="76"/>
      <c r="P41" s="75"/>
      <c r="Q41" s="75"/>
      <c r="R41" s="75"/>
      <c r="S41" s="75"/>
      <c r="T41" s="75"/>
      <c r="U41" s="75"/>
      <c r="V41" s="75"/>
      <c r="W41" s="75"/>
      <c r="X41" s="75"/>
      <c r="Y41" s="75"/>
      <c r="Z41" s="112"/>
      <c r="AA41" s="2"/>
    </row>
    <row r="42" spans="1:27" ht="14.25" customHeight="1">
      <c r="A42" s="217"/>
      <c r="B42" s="82"/>
      <c r="C42" s="76"/>
      <c r="D42" s="76"/>
      <c r="E42" s="76"/>
      <c r="F42" s="76"/>
      <c r="G42" s="76"/>
      <c r="H42" s="76"/>
      <c r="I42" s="76"/>
      <c r="J42" s="76"/>
      <c r="K42" s="76"/>
      <c r="L42" s="76"/>
      <c r="M42" s="76"/>
      <c r="N42" s="76"/>
      <c r="O42" s="76"/>
      <c r="P42" s="75"/>
      <c r="Q42" s="75"/>
      <c r="R42" s="75"/>
      <c r="S42" s="75"/>
      <c r="T42" s="75"/>
      <c r="U42" s="75"/>
      <c r="V42" s="75"/>
      <c r="X42" s="75"/>
      <c r="Y42" s="75"/>
      <c r="Z42" s="112"/>
      <c r="AA42" s="2"/>
    </row>
    <row r="43" spans="1:27" ht="14.25" customHeight="1">
      <c r="A43" s="217"/>
      <c r="B43" s="82"/>
      <c r="C43" s="76"/>
      <c r="D43" s="76"/>
      <c r="E43" s="76"/>
      <c r="F43" s="76"/>
      <c r="G43" s="76"/>
      <c r="H43" s="76"/>
      <c r="I43" s="76"/>
      <c r="J43" s="76"/>
      <c r="K43" s="76"/>
      <c r="L43" s="76"/>
      <c r="M43" s="76"/>
      <c r="N43" s="76"/>
      <c r="O43" s="76"/>
      <c r="P43" s="75"/>
      <c r="Q43" s="75"/>
      <c r="R43" s="75"/>
      <c r="S43" s="75"/>
      <c r="T43" s="75"/>
      <c r="U43" s="75"/>
      <c r="V43" s="75"/>
      <c r="W43" s="75"/>
      <c r="X43" s="75"/>
      <c r="Y43" s="75"/>
      <c r="Z43" s="112"/>
      <c r="AA43" s="2"/>
    </row>
    <row r="44" spans="1:27" ht="14.25" customHeight="1">
      <c r="A44" s="217"/>
      <c r="B44" s="82"/>
      <c r="C44" s="76"/>
      <c r="D44" s="76"/>
      <c r="E44" s="76"/>
      <c r="F44" s="76"/>
      <c r="G44" s="76"/>
      <c r="H44" s="76"/>
      <c r="I44" s="76"/>
      <c r="J44" s="76"/>
      <c r="K44" s="76"/>
      <c r="L44" s="76"/>
      <c r="M44" s="76"/>
      <c r="N44" s="76"/>
      <c r="O44" s="76"/>
      <c r="P44" s="75"/>
      <c r="Q44" s="75"/>
      <c r="R44" s="75"/>
      <c r="S44" s="75"/>
      <c r="T44" s="75"/>
      <c r="U44" s="75"/>
      <c r="V44" s="75"/>
      <c r="W44" s="75"/>
      <c r="X44" s="75"/>
      <c r="Y44" s="75"/>
      <c r="Z44" s="112"/>
      <c r="AA44" s="2"/>
    </row>
    <row r="45" spans="1:27" ht="14.25" customHeight="1">
      <c r="A45" s="217"/>
      <c r="B45" s="82"/>
      <c r="C45" s="76"/>
      <c r="D45" s="76"/>
      <c r="E45" s="76"/>
      <c r="F45" s="76"/>
      <c r="G45" s="76"/>
      <c r="H45" s="76"/>
      <c r="I45" s="76"/>
      <c r="J45" s="76"/>
      <c r="K45" s="76"/>
      <c r="L45" s="76"/>
      <c r="M45" s="76"/>
      <c r="N45" s="76"/>
      <c r="O45" s="76"/>
      <c r="P45" s="75"/>
      <c r="Q45" s="75"/>
      <c r="R45" s="75"/>
      <c r="S45" s="75"/>
      <c r="T45" s="75"/>
      <c r="U45" s="75"/>
      <c r="V45" s="75"/>
      <c r="W45" s="75"/>
      <c r="X45" s="75"/>
      <c r="Y45" s="75"/>
      <c r="Z45" s="112"/>
      <c r="AA45" s="2"/>
    </row>
    <row r="46" spans="1:27" ht="14.25" customHeight="1">
      <c r="A46" s="217"/>
      <c r="B46" s="82"/>
      <c r="C46" s="76"/>
      <c r="D46" s="76"/>
      <c r="E46" s="76"/>
      <c r="F46" s="76"/>
      <c r="G46" s="76"/>
      <c r="H46" s="76"/>
      <c r="I46" s="76"/>
      <c r="J46" s="76"/>
      <c r="K46" s="76"/>
      <c r="L46" s="76"/>
      <c r="M46" s="76"/>
      <c r="N46" s="76"/>
      <c r="O46" s="76"/>
      <c r="P46" s="75"/>
      <c r="Q46" s="75"/>
      <c r="R46" s="75"/>
      <c r="S46" s="75"/>
      <c r="T46" s="75"/>
      <c r="U46" s="75"/>
      <c r="V46" s="75"/>
      <c r="W46" s="75"/>
      <c r="X46" s="75"/>
      <c r="Y46" s="75"/>
      <c r="Z46" s="112"/>
      <c r="AA46" s="2"/>
    </row>
    <row r="47" spans="1:27" ht="14.25" customHeight="1" thickBot="1">
      <c r="A47" s="217"/>
      <c r="B47" s="89"/>
      <c r="C47" s="232"/>
      <c r="D47" s="232"/>
      <c r="E47" s="232"/>
      <c r="F47" s="232"/>
      <c r="G47" s="232"/>
      <c r="H47" s="232"/>
      <c r="I47" s="232"/>
      <c r="J47" s="232"/>
      <c r="K47" s="232"/>
      <c r="L47" s="232"/>
      <c r="M47" s="232"/>
      <c r="N47" s="232"/>
      <c r="O47" s="232"/>
      <c r="P47" s="115"/>
      <c r="Q47" s="115"/>
      <c r="R47" s="115"/>
      <c r="S47" s="115"/>
      <c r="T47" s="115"/>
      <c r="U47" s="115"/>
      <c r="V47" s="115"/>
      <c r="W47" s="115"/>
      <c r="X47" s="115"/>
      <c r="Y47" s="115"/>
      <c r="Z47" s="116"/>
      <c r="AA47" s="2"/>
    </row>
    <row r="48" spans="1:27" ht="14.25" customHeight="1">
      <c r="A48" s="217"/>
      <c r="B48" s="83"/>
      <c r="C48" s="93"/>
      <c r="D48" s="93"/>
      <c r="E48" s="93"/>
      <c r="F48" s="93"/>
      <c r="G48" s="93"/>
      <c r="H48" s="93"/>
      <c r="I48" s="93"/>
      <c r="J48" s="93"/>
      <c r="K48" s="93"/>
      <c r="L48" s="93"/>
      <c r="M48" s="93"/>
      <c r="N48" s="76"/>
      <c r="O48" s="93"/>
      <c r="P48" s="2"/>
      <c r="Q48" s="2"/>
      <c r="R48" s="2"/>
      <c r="S48" s="2"/>
      <c r="T48" s="2"/>
      <c r="U48" s="2"/>
      <c r="V48" s="2"/>
      <c r="W48" s="2"/>
      <c r="X48" s="2"/>
      <c r="Y48" s="2"/>
      <c r="Z48" s="2"/>
      <c r="AA48" s="2"/>
    </row>
    <row r="49" spans="1:27" ht="14.25" customHeight="1">
      <c r="A49" s="217"/>
      <c r="B49" s="83"/>
      <c r="C49" s="93"/>
      <c r="D49" s="93"/>
      <c r="E49" s="93"/>
      <c r="F49" s="93"/>
      <c r="G49" s="93"/>
      <c r="H49" s="93"/>
      <c r="I49" s="93"/>
      <c r="J49" s="93"/>
      <c r="K49" s="93"/>
      <c r="L49" s="93"/>
      <c r="M49" s="93"/>
      <c r="N49" s="76"/>
      <c r="O49" s="93"/>
      <c r="P49" s="2"/>
      <c r="Q49" s="2"/>
      <c r="R49" s="2"/>
      <c r="S49" s="2"/>
      <c r="T49" s="2"/>
      <c r="U49" s="2"/>
      <c r="V49" s="2"/>
      <c r="W49" s="2"/>
      <c r="X49" s="2"/>
      <c r="Y49" s="2"/>
      <c r="Z49" s="2"/>
      <c r="AA49" s="2"/>
    </row>
    <row r="50" spans="1:27" ht="14.25" customHeight="1">
      <c r="A50" s="217"/>
      <c r="B50" s="83"/>
      <c r="C50" s="93"/>
      <c r="D50" s="93"/>
      <c r="E50" s="93"/>
      <c r="F50" s="93"/>
      <c r="G50" s="93"/>
      <c r="H50" s="93"/>
      <c r="I50" s="93"/>
      <c r="J50" s="93"/>
      <c r="K50" s="93"/>
      <c r="L50" s="93"/>
      <c r="M50" s="93"/>
      <c r="N50" s="76"/>
      <c r="O50" s="93"/>
      <c r="P50" s="2"/>
      <c r="Q50" s="2"/>
      <c r="R50" s="2"/>
      <c r="S50" s="2"/>
      <c r="T50" s="2"/>
      <c r="U50" s="2"/>
      <c r="V50" s="2"/>
      <c r="W50" s="2"/>
      <c r="X50" s="2"/>
      <c r="Y50" s="2"/>
      <c r="Z50" s="2"/>
      <c r="AA50" s="2"/>
    </row>
    <row r="51" spans="1:27" ht="14.25" customHeight="1">
      <c r="A51" s="217"/>
      <c r="B51" s="83"/>
      <c r="C51" s="93"/>
      <c r="D51" s="93"/>
      <c r="E51" s="93"/>
      <c r="F51" s="93"/>
      <c r="G51" s="93"/>
      <c r="H51" s="93"/>
      <c r="I51" s="93"/>
      <c r="J51" s="93"/>
      <c r="K51" s="93"/>
      <c r="L51" s="93"/>
      <c r="M51" s="93"/>
      <c r="N51" s="76"/>
      <c r="O51" s="93"/>
      <c r="P51" s="2"/>
      <c r="Q51" s="2"/>
      <c r="R51" s="2"/>
      <c r="S51" s="2"/>
      <c r="T51" s="2"/>
      <c r="U51" s="2"/>
      <c r="V51" s="2"/>
      <c r="W51" s="2"/>
      <c r="X51" s="2"/>
      <c r="Y51" s="2"/>
      <c r="Z51" s="2"/>
      <c r="AA51" s="2"/>
    </row>
    <row r="52" spans="1:27" ht="14.25" customHeight="1">
      <c r="A52" s="217"/>
      <c r="B52" s="83"/>
      <c r="C52" s="93"/>
      <c r="D52" s="93"/>
      <c r="E52" s="93"/>
      <c r="F52" s="93"/>
      <c r="G52" s="93"/>
      <c r="H52" s="93"/>
      <c r="I52" s="93"/>
      <c r="J52" s="93"/>
      <c r="K52" s="93"/>
      <c r="L52" s="93"/>
      <c r="M52" s="93"/>
      <c r="N52" s="76"/>
      <c r="O52" s="93"/>
      <c r="P52" s="2"/>
      <c r="Q52" s="2"/>
      <c r="R52" s="2"/>
      <c r="S52" s="2"/>
      <c r="T52" s="2"/>
      <c r="U52" s="2"/>
      <c r="V52" s="2"/>
      <c r="W52" s="2"/>
      <c r="X52" s="2"/>
      <c r="Y52" s="2"/>
      <c r="Z52" s="2"/>
      <c r="AA52" s="2"/>
    </row>
    <row r="53" spans="1:27" ht="14.25" customHeight="1">
      <c r="A53" s="217"/>
      <c r="B53" s="83"/>
      <c r="C53" s="93"/>
      <c r="D53" s="93"/>
      <c r="E53" s="93"/>
      <c r="F53" s="93"/>
      <c r="G53" s="93"/>
      <c r="H53" s="93"/>
      <c r="I53" s="93"/>
      <c r="J53" s="93"/>
      <c r="K53" s="93"/>
      <c r="L53" s="93"/>
      <c r="M53" s="93"/>
      <c r="N53" s="76"/>
      <c r="O53" s="93"/>
      <c r="P53" s="2"/>
      <c r="Q53" s="2"/>
      <c r="R53" s="2"/>
      <c r="S53" s="2"/>
      <c r="T53" s="2"/>
      <c r="U53" s="2"/>
      <c r="V53" s="2"/>
      <c r="W53" s="2"/>
      <c r="X53" s="2"/>
      <c r="Y53" s="2"/>
      <c r="Z53" s="2"/>
      <c r="AA53" s="2"/>
    </row>
    <row r="54" spans="1:27" ht="14.25" customHeight="1">
      <c r="A54" s="217"/>
      <c r="B54" s="83"/>
      <c r="C54" s="93"/>
      <c r="D54" s="93"/>
      <c r="E54" s="93"/>
      <c r="F54" s="93"/>
      <c r="G54" s="93"/>
      <c r="H54" s="93"/>
      <c r="I54" s="93"/>
      <c r="J54" s="93"/>
      <c r="K54" s="93"/>
      <c r="L54" s="93"/>
      <c r="M54" s="93"/>
      <c r="N54" s="76"/>
      <c r="O54" s="93"/>
      <c r="P54" s="2"/>
      <c r="Q54" s="2"/>
      <c r="R54" s="2"/>
      <c r="S54" s="2"/>
      <c r="T54" s="2"/>
      <c r="U54" s="2"/>
      <c r="V54" s="2"/>
      <c r="W54" s="2"/>
      <c r="X54" s="2"/>
      <c r="Y54" s="2"/>
      <c r="Z54" s="2"/>
      <c r="AA54" s="2"/>
    </row>
    <row r="55" spans="1:27" ht="14.25" customHeight="1">
      <c r="A55" s="217"/>
      <c r="B55" s="83"/>
      <c r="C55" s="93"/>
      <c r="D55" s="93"/>
      <c r="E55" s="93"/>
      <c r="F55" s="93"/>
      <c r="G55" s="93"/>
      <c r="H55" s="93"/>
      <c r="I55" s="93"/>
      <c r="J55" s="93"/>
      <c r="K55" s="93"/>
      <c r="L55" s="93"/>
      <c r="M55" s="93"/>
      <c r="N55" s="76"/>
      <c r="O55" s="93"/>
      <c r="P55" s="2"/>
      <c r="Q55" s="2"/>
      <c r="R55" s="2"/>
      <c r="S55" s="2"/>
      <c r="T55" s="2"/>
      <c r="U55" s="2"/>
      <c r="V55" s="2"/>
      <c r="W55" s="2"/>
      <c r="X55" s="2"/>
      <c r="Y55" s="2"/>
      <c r="Z55" s="2"/>
      <c r="AA55" s="2"/>
    </row>
    <row r="56" spans="1:27" ht="14.25" customHeight="1">
      <c r="A56" s="217"/>
      <c r="B56" s="83"/>
      <c r="C56" s="93"/>
      <c r="D56" s="93"/>
      <c r="E56" s="93"/>
      <c r="F56" s="93"/>
      <c r="G56" s="93"/>
      <c r="H56" s="93"/>
      <c r="I56" s="93"/>
      <c r="J56" s="93"/>
      <c r="K56" s="93"/>
      <c r="L56" s="93"/>
      <c r="M56" s="93"/>
      <c r="N56" s="76"/>
      <c r="O56" s="93"/>
      <c r="P56" s="2"/>
      <c r="Q56" s="2"/>
      <c r="R56" s="2"/>
      <c r="S56" s="2"/>
      <c r="T56" s="2"/>
      <c r="U56" s="2"/>
      <c r="V56" s="2"/>
      <c r="W56" s="2"/>
      <c r="X56" s="2"/>
      <c r="Y56" s="2"/>
      <c r="Z56" s="2"/>
      <c r="AA56" s="2"/>
    </row>
    <row r="57" spans="1:27" ht="14.25" customHeight="1">
      <c r="A57" s="217"/>
      <c r="B57" s="83"/>
      <c r="C57" s="93"/>
      <c r="D57" s="93"/>
      <c r="E57" s="93"/>
      <c r="F57" s="93"/>
      <c r="G57" s="93"/>
      <c r="H57" s="93"/>
      <c r="I57" s="93"/>
      <c r="J57" s="93"/>
      <c r="K57" s="93"/>
      <c r="L57" s="93"/>
      <c r="M57" s="93"/>
      <c r="N57" s="76"/>
      <c r="O57" s="93"/>
      <c r="P57" s="2"/>
      <c r="Q57" s="2"/>
      <c r="R57" s="2"/>
      <c r="S57" s="2"/>
      <c r="T57" s="2"/>
      <c r="U57" s="2"/>
      <c r="V57" s="2"/>
      <c r="W57" s="2"/>
      <c r="X57" s="2"/>
      <c r="Y57" s="2"/>
      <c r="Z57" s="2"/>
      <c r="AA57" s="2"/>
    </row>
    <row r="58" spans="1:27" ht="14.25" customHeight="1">
      <c r="A58" s="217"/>
      <c r="B58" s="83"/>
      <c r="C58" s="93"/>
      <c r="D58" s="93"/>
      <c r="E58" s="93"/>
      <c r="F58" s="93"/>
      <c r="G58" s="93"/>
      <c r="H58" s="93"/>
      <c r="I58" s="93"/>
      <c r="J58" s="93"/>
      <c r="K58" s="93"/>
      <c r="L58" s="93"/>
      <c r="M58" s="93"/>
      <c r="N58" s="76"/>
      <c r="O58" s="93"/>
      <c r="P58" s="2"/>
      <c r="Q58" s="2"/>
      <c r="R58" s="2"/>
      <c r="S58" s="2"/>
      <c r="T58" s="2"/>
      <c r="U58" s="2"/>
      <c r="V58" s="2"/>
      <c r="W58" s="2"/>
      <c r="X58" s="2"/>
      <c r="Y58" s="2"/>
      <c r="Z58" s="2"/>
      <c r="AA58" s="2"/>
    </row>
    <row r="59" spans="1:27" ht="14.25" customHeight="1">
      <c r="A59" s="217"/>
      <c r="B59" s="83"/>
      <c r="C59" s="93"/>
      <c r="D59" s="93"/>
      <c r="E59" s="93"/>
      <c r="F59" s="93"/>
      <c r="G59" s="93"/>
      <c r="H59" s="93"/>
      <c r="I59" s="93"/>
      <c r="J59" s="93"/>
      <c r="K59" s="93"/>
      <c r="L59" s="93"/>
      <c r="M59" s="93"/>
      <c r="N59" s="76"/>
      <c r="O59" s="93"/>
      <c r="P59" s="2"/>
      <c r="Q59" s="2"/>
      <c r="R59" s="2"/>
      <c r="S59" s="2"/>
      <c r="T59" s="2"/>
      <c r="U59" s="2"/>
      <c r="V59" s="2"/>
      <c r="W59" s="2"/>
      <c r="X59" s="2"/>
      <c r="Y59" s="2"/>
      <c r="Z59" s="2"/>
      <c r="AA59" s="2"/>
    </row>
    <row r="60" spans="1:27" ht="14.25" customHeight="1">
      <c r="A60" s="217"/>
      <c r="B60" s="83"/>
      <c r="C60" s="93"/>
      <c r="D60" s="93"/>
      <c r="E60" s="93"/>
      <c r="F60" s="93"/>
      <c r="G60" s="93"/>
      <c r="H60" s="93"/>
      <c r="I60" s="93"/>
      <c r="J60" s="93"/>
      <c r="K60" s="93"/>
      <c r="L60" s="93"/>
      <c r="M60" s="93"/>
      <c r="N60" s="76"/>
      <c r="O60" s="93"/>
      <c r="P60" s="2"/>
      <c r="Q60" s="2"/>
      <c r="R60" s="2"/>
      <c r="S60" s="2"/>
      <c r="T60" s="2"/>
      <c r="U60" s="2"/>
      <c r="V60" s="2"/>
      <c r="W60" s="2"/>
      <c r="X60" s="2"/>
      <c r="Y60" s="2"/>
      <c r="Z60" s="2"/>
      <c r="AA60" s="2"/>
    </row>
    <row r="61" spans="1:27" ht="14.25" customHeight="1">
      <c r="A61" s="217"/>
      <c r="B61" s="83"/>
      <c r="C61" s="93"/>
      <c r="D61" s="93"/>
      <c r="E61" s="93"/>
      <c r="F61" s="93"/>
      <c r="G61" s="93"/>
      <c r="H61" s="93"/>
      <c r="I61" s="93"/>
      <c r="J61" s="93"/>
      <c r="K61" s="93"/>
      <c r="L61" s="93"/>
      <c r="M61" s="93"/>
      <c r="N61" s="76"/>
      <c r="O61" s="93"/>
      <c r="P61" s="2"/>
      <c r="Q61" s="2"/>
      <c r="R61" s="2"/>
      <c r="S61" s="2"/>
      <c r="T61" s="2"/>
      <c r="U61" s="2"/>
      <c r="V61" s="2"/>
      <c r="W61" s="2"/>
      <c r="X61" s="2"/>
      <c r="Y61" s="2"/>
      <c r="Z61" s="2"/>
      <c r="AA61" s="2"/>
    </row>
    <row r="62" spans="1:27" ht="14.25" customHeight="1">
      <c r="A62" s="217"/>
      <c r="B62" s="83"/>
      <c r="C62" s="93"/>
      <c r="D62" s="93"/>
      <c r="E62" s="93"/>
      <c r="F62" s="93"/>
      <c r="G62" s="93"/>
      <c r="H62" s="93"/>
      <c r="I62" s="93"/>
      <c r="J62" s="93"/>
      <c r="K62" s="93"/>
      <c r="L62" s="93"/>
      <c r="M62" s="93"/>
      <c r="N62" s="76"/>
      <c r="O62" s="93"/>
      <c r="P62" s="2"/>
      <c r="Q62" s="2"/>
      <c r="R62" s="2"/>
      <c r="S62" s="2"/>
      <c r="T62" s="2"/>
      <c r="U62" s="2"/>
      <c r="V62" s="2"/>
      <c r="W62" s="2"/>
      <c r="X62" s="2"/>
      <c r="Y62" s="2"/>
      <c r="Z62" s="2"/>
      <c r="AA62" s="2"/>
    </row>
    <row r="63" spans="1:27" ht="14.25" customHeight="1">
      <c r="A63" s="217"/>
      <c r="B63" s="83"/>
      <c r="C63" s="93"/>
      <c r="D63" s="93"/>
      <c r="E63" s="93"/>
      <c r="F63" s="93"/>
      <c r="G63" s="93"/>
      <c r="H63" s="93"/>
      <c r="I63" s="93"/>
      <c r="J63" s="93"/>
      <c r="K63" s="93"/>
      <c r="L63" s="93"/>
      <c r="M63" s="93"/>
      <c r="N63" s="76"/>
      <c r="O63" s="93"/>
      <c r="P63" s="2"/>
      <c r="Q63" s="2"/>
      <c r="R63" s="2"/>
      <c r="S63" s="2"/>
      <c r="T63" s="2"/>
      <c r="U63" s="2"/>
      <c r="V63" s="2"/>
      <c r="W63" s="2"/>
      <c r="X63" s="2"/>
      <c r="Y63" s="2"/>
      <c r="Z63" s="2"/>
      <c r="AA63" s="2"/>
    </row>
    <row r="64" spans="1:27" ht="14.25" customHeight="1">
      <c r="A64" s="217"/>
      <c r="B64" s="83"/>
      <c r="C64" s="93"/>
      <c r="D64" s="93"/>
      <c r="E64" s="93"/>
      <c r="F64" s="93"/>
      <c r="G64" s="93"/>
      <c r="H64" s="93"/>
      <c r="I64" s="93"/>
      <c r="J64" s="93"/>
      <c r="K64" s="93"/>
      <c r="L64" s="93"/>
      <c r="M64" s="93"/>
      <c r="N64" s="76"/>
      <c r="O64" s="93"/>
      <c r="P64" s="2"/>
      <c r="Q64" s="2"/>
      <c r="R64" s="2"/>
      <c r="S64" s="2"/>
      <c r="T64" s="2"/>
      <c r="U64" s="2"/>
      <c r="V64" s="2"/>
      <c r="W64" s="2"/>
      <c r="X64" s="2"/>
      <c r="Y64" s="2"/>
      <c r="Z64" s="2"/>
      <c r="AA64" s="2"/>
    </row>
    <row r="65" spans="1:27" ht="14.25" customHeight="1">
      <c r="A65" s="217"/>
      <c r="B65" s="83"/>
      <c r="C65" s="93"/>
      <c r="D65" s="93"/>
      <c r="E65" s="93"/>
      <c r="F65" s="93"/>
      <c r="G65" s="93"/>
      <c r="H65" s="93"/>
      <c r="I65" s="93"/>
      <c r="J65" s="93"/>
      <c r="K65" s="93"/>
      <c r="L65" s="93"/>
      <c r="M65" s="93"/>
      <c r="N65" s="76"/>
      <c r="O65" s="93"/>
      <c r="P65" s="2"/>
      <c r="Q65" s="2"/>
      <c r="R65" s="2"/>
      <c r="S65" s="2"/>
      <c r="T65" s="2"/>
      <c r="U65" s="2"/>
      <c r="V65" s="2"/>
      <c r="W65" s="2"/>
      <c r="X65" s="2"/>
      <c r="Y65" s="2"/>
      <c r="Z65" s="2"/>
      <c r="AA65" s="2"/>
    </row>
    <row r="66" spans="1:27" ht="14.25" customHeight="1">
      <c r="A66" s="217"/>
      <c r="B66" s="83"/>
      <c r="C66" s="93"/>
      <c r="D66" s="93"/>
      <c r="E66" s="93"/>
      <c r="F66" s="93"/>
      <c r="G66" s="93"/>
      <c r="H66" s="93"/>
      <c r="I66" s="93"/>
      <c r="J66" s="93"/>
      <c r="K66" s="93"/>
      <c r="L66" s="93"/>
      <c r="M66" s="93"/>
      <c r="N66" s="76"/>
      <c r="O66" s="93"/>
      <c r="P66" s="2"/>
      <c r="Q66" s="2"/>
      <c r="R66" s="2"/>
      <c r="S66" s="2"/>
      <c r="T66" s="2"/>
      <c r="U66" s="2"/>
      <c r="V66" s="2"/>
      <c r="W66" s="2"/>
      <c r="X66" s="2"/>
      <c r="Y66" s="2"/>
      <c r="Z66" s="2"/>
      <c r="AA66" s="2"/>
    </row>
    <row r="67" spans="1:27" ht="14.25" customHeight="1">
      <c r="A67" s="217"/>
      <c r="B67" s="83"/>
      <c r="C67" s="93"/>
      <c r="D67" s="93"/>
      <c r="E67" s="93"/>
      <c r="F67" s="93"/>
      <c r="G67" s="93"/>
      <c r="H67" s="93"/>
      <c r="I67" s="93"/>
      <c r="J67" s="93"/>
      <c r="K67" s="93"/>
      <c r="L67" s="93"/>
      <c r="M67" s="93"/>
      <c r="N67" s="76"/>
      <c r="O67" s="93"/>
      <c r="P67" s="2"/>
      <c r="Q67" s="2"/>
      <c r="R67" s="2"/>
      <c r="S67" s="2"/>
      <c r="T67" s="2"/>
      <c r="U67" s="2"/>
      <c r="V67" s="2"/>
      <c r="W67" s="2"/>
      <c r="X67" s="2"/>
      <c r="Y67" s="2"/>
      <c r="Z67" s="2"/>
      <c r="AA67" s="2"/>
    </row>
    <row r="68" spans="1:27" ht="14.25" customHeight="1">
      <c r="A68" s="217"/>
      <c r="B68" s="83"/>
      <c r="C68" s="93"/>
      <c r="D68" s="93"/>
      <c r="E68" s="93"/>
      <c r="F68" s="93"/>
      <c r="G68" s="93"/>
      <c r="H68" s="93"/>
      <c r="I68" s="93"/>
      <c r="J68" s="93"/>
      <c r="K68" s="93"/>
      <c r="L68" s="93"/>
      <c r="M68" s="93"/>
      <c r="N68" s="76"/>
      <c r="O68" s="93"/>
      <c r="P68" s="2"/>
      <c r="Q68" s="2"/>
      <c r="R68" s="2"/>
      <c r="S68" s="2"/>
      <c r="T68" s="2"/>
      <c r="U68" s="2"/>
      <c r="V68" s="2"/>
      <c r="W68" s="2"/>
      <c r="X68" s="2"/>
      <c r="Y68" s="2"/>
      <c r="Z68" s="2"/>
      <c r="AA68" s="2"/>
    </row>
    <row r="69" spans="1:27" ht="14.25" customHeight="1">
      <c r="A69" s="217"/>
      <c r="B69" s="83"/>
      <c r="C69" s="93"/>
      <c r="D69" s="93"/>
      <c r="E69" s="93"/>
      <c r="F69" s="93"/>
      <c r="G69" s="93"/>
      <c r="H69" s="93"/>
      <c r="I69" s="93"/>
      <c r="J69" s="93"/>
      <c r="K69" s="93"/>
      <c r="L69" s="93"/>
      <c r="M69" s="93"/>
      <c r="N69" s="76"/>
      <c r="O69" s="93"/>
      <c r="P69" s="2"/>
      <c r="Q69" s="2"/>
      <c r="R69" s="2"/>
      <c r="S69" s="2"/>
      <c r="T69" s="2"/>
      <c r="U69" s="2"/>
      <c r="V69" s="2"/>
      <c r="W69" s="2"/>
      <c r="X69" s="2"/>
      <c r="Y69" s="2"/>
      <c r="Z69" s="2"/>
      <c r="AA69" s="2"/>
    </row>
    <row r="70" spans="1:27" ht="14.25" customHeight="1">
      <c r="A70" s="217"/>
      <c r="B70" s="83"/>
      <c r="C70" s="93"/>
      <c r="D70" s="93"/>
      <c r="E70" s="93"/>
      <c r="F70" s="93"/>
      <c r="G70" s="93"/>
      <c r="H70" s="93"/>
      <c r="I70" s="93"/>
      <c r="J70" s="93"/>
      <c r="K70" s="93"/>
      <c r="L70" s="93"/>
      <c r="M70" s="93"/>
      <c r="N70" s="76"/>
      <c r="O70" s="93"/>
      <c r="P70" s="2"/>
      <c r="Q70" s="2"/>
      <c r="R70" s="2"/>
      <c r="S70" s="2"/>
      <c r="T70" s="2"/>
      <c r="U70" s="2"/>
      <c r="V70" s="2"/>
      <c r="W70" s="2"/>
      <c r="X70" s="2"/>
      <c r="Y70" s="2"/>
      <c r="Z70" s="2"/>
      <c r="AA70" s="2"/>
    </row>
    <row r="71" spans="1:27" ht="14.25" customHeight="1">
      <c r="A71" s="217"/>
      <c r="B71" s="83"/>
      <c r="C71" s="93"/>
      <c r="D71" s="93"/>
      <c r="E71" s="93"/>
      <c r="F71" s="93"/>
      <c r="G71" s="93"/>
      <c r="H71" s="93"/>
      <c r="I71" s="93"/>
      <c r="J71" s="93"/>
      <c r="K71" s="93"/>
      <c r="L71" s="93"/>
      <c r="M71" s="93"/>
      <c r="N71" s="76"/>
      <c r="O71" s="93"/>
      <c r="P71" s="2"/>
      <c r="Q71" s="2"/>
      <c r="R71" s="2"/>
      <c r="S71" s="2"/>
      <c r="T71" s="2"/>
      <c r="U71" s="2"/>
      <c r="V71" s="2"/>
      <c r="W71" s="2"/>
      <c r="X71" s="2"/>
      <c r="Y71" s="2"/>
      <c r="Z71" s="2"/>
      <c r="AA71" s="2"/>
    </row>
    <row r="72" spans="1:27" ht="14.25" customHeight="1">
      <c r="A72" s="217"/>
      <c r="B72" s="83"/>
      <c r="C72" s="93"/>
      <c r="D72" s="93"/>
      <c r="E72" s="93"/>
      <c r="F72" s="93"/>
      <c r="G72" s="93"/>
      <c r="H72" s="93"/>
      <c r="I72" s="93"/>
      <c r="J72" s="93"/>
      <c r="K72" s="93"/>
      <c r="L72" s="93"/>
      <c r="M72" s="93"/>
      <c r="N72" s="76"/>
      <c r="O72" s="93"/>
      <c r="P72" s="2"/>
      <c r="Q72" s="2"/>
      <c r="R72" s="2"/>
      <c r="S72" s="2"/>
      <c r="T72" s="2"/>
      <c r="U72" s="2"/>
      <c r="V72" s="2"/>
      <c r="W72" s="2"/>
      <c r="X72" s="2"/>
      <c r="Y72" s="2"/>
      <c r="Z72" s="2"/>
      <c r="AA72" s="2"/>
    </row>
    <row r="73" spans="1:27" ht="14.25" customHeight="1">
      <c r="A73" s="217"/>
      <c r="B73" s="83"/>
      <c r="C73" s="93"/>
      <c r="D73" s="93"/>
      <c r="E73" s="93"/>
      <c r="F73" s="93"/>
      <c r="G73" s="93"/>
      <c r="H73" s="93"/>
      <c r="I73" s="93"/>
      <c r="J73" s="93"/>
      <c r="K73" s="93"/>
      <c r="L73" s="93"/>
      <c r="M73" s="93"/>
      <c r="N73" s="76"/>
      <c r="O73" s="93"/>
      <c r="P73" s="2"/>
      <c r="Q73" s="2"/>
      <c r="R73" s="2"/>
      <c r="S73" s="2"/>
      <c r="T73" s="2"/>
      <c r="U73" s="2"/>
      <c r="V73" s="2"/>
      <c r="W73" s="2"/>
      <c r="X73" s="2"/>
      <c r="Y73" s="2"/>
      <c r="Z73" s="2"/>
      <c r="AA73" s="2"/>
    </row>
    <row r="74" spans="1:27" ht="14.25" customHeight="1">
      <c r="A74" s="217"/>
      <c r="B74" s="83"/>
      <c r="C74" s="93"/>
      <c r="D74" s="93"/>
      <c r="E74" s="93"/>
      <c r="F74" s="93"/>
      <c r="G74" s="93"/>
      <c r="H74" s="93"/>
      <c r="I74" s="93"/>
      <c r="J74" s="93"/>
      <c r="K74" s="93"/>
      <c r="L74" s="93"/>
      <c r="M74" s="93"/>
      <c r="N74" s="76"/>
      <c r="O74" s="93"/>
      <c r="P74" s="2"/>
      <c r="Q74" s="2"/>
      <c r="R74" s="2"/>
      <c r="S74" s="2"/>
      <c r="T74" s="2"/>
      <c r="U74" s="2"/>
      <c r="V74" s="2"/>
      <c r="W74" s="2"/>
      <c r="X74" s="2"/>
      <c r="Y74" s="2"/>
      <c r="Z74" s="2"/>
      <c r="AA74" s="2"/>
    </row>
    <row r="75" spans="1:27" ht="14.25" customHeight="1">
      <c r="B75" s="76"/>
      <c r="C75" s="76"/>
      <c r="D75" s="76"/>
      <c r="E75" s="76"/>
      <c r="F75" s="76"/>
      <c r="G75" s="76"/>
      <c r="H75" s="76"/>
      <c r="I75" s="76"/>
      <c r="J75" s="76"/>
      <c r="K75" s="76"/>
      <c r="L75" s="76"/>
      <c r="M75" s="76"/>
      <c r="N75" s="76"/>
      <c r="O75" s="93"/>
      <c r="P75" s="2"/>
      <c r="Q75" s="2"/>
      <c r="R75" s="2"/>
      <c r="S75" s="2"/>
      <c r="T75" s="2"/>
      <c r="U75" s="2"/>
      <c r="V75" s="2"/>
      <c r="W75" s="2"/>
      <c r="X75" s="2"/>
      <c r="Y75" s="2"/>
      <c r="Z75" s="2"/>
      <c r="AA75" s="2"/>
    </row>
    <row r="76" spans="1:27" ht="14.25" customHeight="1">
      <c r="B76" s="76"/>
      <c r="C76" s="76"/>
      <c r="D76" s="76"/>
      <c r="E76" s="76"/>
      <c r="F76" s="76"/>
      <c r="G76" s="76"/>
      <c r="H76" s="76"/>
      <c r="I76" s="76"/>
      <c r="J76" s="76"/>
      <c r="K76" s="76"/>
      <c r="L76" s="76"/>
      <c r="M76" s="76"/>
      <c r="N76" s="76"/>
      <c r="O76" s="93"/>
      <c r="P76" s="2"/>
      <c r="Q76" s="2"/>
      <c r="R76" s="2"/>
      <c r="S76" s="2"/>
      <c r="T76" s="2"/>
      <c r="U76" s="2"/>
      <c r="V76" s="2"/>
      <c r="W76" s="2"/>
      <c r="X76" s="2"/>
      <c r="Y76" s="2"/>
      <c r="Z76" s="2"/>
      <c r="AA76" s="2"/>
    </row>
    <row r="77" spans="1:27" ht="14.25" customHeight="1">
      <c r="B77" s="76"/>
      <c r="C77" s="93"/>
      <c r="D77" s="93"/>
      <c r="E77" s="93"/>
      <c r="F77" s="93"/>
      <c r="G77" s="93"/>
      <c r="H77" s="93"/>
      <c r="I77" s="93"/>
      <c r="J77" s="93"/>
      <c r="K77" s="93"/>
      <c r="L77" s="93"/>
      <c r="M77" s="93"/>
      <c r="N77" s="93"/>
      <c r="O77" s="93"/>
      <c r="P77" s="2"/>
      <c r="Q77" s="2"/>
      <c r="R77" s="2"/>
      <c r="S77" s="2"/>
      <c r="T77" s="2"/>
      <c r="U77" s="2"/>
      <c r="V77" s="2"/>
      <c r="W77" s="2"/>
      <c r="X77" s="2"/>
      <c r="Y77" s="2"/>
      <c r="Z77" s="2"/>
      <c r="AA77" s="2"/>
    </row>
    <row r="78" spans="1:27" ht="14.25" customHeight="1">
      <c r="B78" s="75"/>
      <c r="C78" s="2"/>
      <c r="D78" s="2"/>
      <c r="E78" s="2"/>
      <c r="F78" s="2"/>
      <c r="G78" s="2"/>
      <c r="H78" s="2"/>
      <c r="I78" s="2"/>
      <c r="J78" s="2"/>
      <c r="K78" s="2"/>
      <c r="L78" s="2"/>
      <c r="M78" s="2"/>
      <c r="N78" s="2"/>
      <c r="O78" s="2"/>
      <c r="P78" s="2"/>
      <c r="Q78" s="2"/>
      <c r="R78" s="2"/>
      <c r="S78" s="2"/>
      <c r="T78" s="2"/>
      <c r="U78" s="2"/>
      <c r="V78" s="2"/>
      <c r="W78" s="2"/>
      <c r="X78" s="2"/>
      <c r="Y78" s="2"/>
      <c r="Z78" s="2"/>
      <c r="AA78" s="2"/>
    </row>
    <row r="79" spans="1:27" ht="14.25" customHeight="1">
      <c r="B79" s="75"/>
      <c r="C79" s="2"/>
      <c r="D79" s="2"/>
      <c r="E79" s="2"/>
      <c r="F79" s="2"/>
      <c r="G79" s="2"/>
      <c r="H79" s="2"/>
      <c r="I79" s="2"/>
      <c r="J79" s="2"/>
      <c r="K79" s="2"/>
      <c r="L79" s="2"/>
      <c r="M79" s="2"/>
      <c r="N79" s="2"/>
      <c r="O79" s="2"/>
      <c r="P79" s="2"/>
      <c r="Q79" s="2"/>
      <c r="R79" s="2"/>
      <c r="S79" s="2"/>
      <c r="T79" s="2"/>
      <c r="U79" s="2"/>
      <c r="V79" s="2"/>
      <c r="W79" s="2"/>
      <c r="X79" s="2"/>
      <c r="Y79" s="2"/>
      <c r="Z79" s="2"/>
      <c r="AA79" s="2"/>
    </row>
    <row r="80" spans="1:27" ht="14.25" customHeight="1">
      <c r="B80" s="75"/>
      <c r="C80" s="2"/>
      <c r="D80" s="2"/>
      <c r="E80" s="2"/>
      <c r="F80" s="2"/>
      <c r="G80" s="2"/>
      <c r="H80" s="2"/>
      <c r="I80" s="2"/>
      <c r="J80" s="2"/>
      <c r="K80" s="2"/>
      <c r="L80" s="2"/>
      <c r="M80" s="2"/>
      <c r="N80" s="2"/>
      <c r="O80" s="2"/>
      <c r="P80" s="2"/>
      <c r="Q80" s="2"/>
      <c r="R80" s="2"/>
      <c r="S80" s="2"/>
      <c r="T80" s="2"/>
      <c r="U80" s="2"/>
      <c r="V80" s="2"/>
      <c r="W80" s="2"/>
      <c r="X80" s="2"/>
      <c r="Y80" s="2"/>
      <c r="Z80" s="2"/>
      <c r="AA80" s="2"/>
    </row>
    <row r="81" spans="2:27" ht="14.25" customHeight="1">
      <c r="B81" s="75"/>
      <c r="C81" s="2"/>
      <c r="D81" s="2"/>
      <c r="E81" s="2"/>
      <c r="F81" s="2"/>
      <c r="G81" s="2"/>
      <c r="H81" s="2"/>
      <c r="I81" s="2"/>
      <c r="J81" s="2"/>
      <c r="K81" s="2"/>
      <c r="L81" s="2"/>
      <c r="M81" s="2"/>
      <c r="N81" s="2"/>
      <c r="O81" s="2"/>
      <c r="P81" s="2"/>
      <c r="Q81" s="2"/>
      <c r="R81" s="2"/>
      <c r="S81" s="2"/>
      <c r="T81" s="2"/>
      <c r="U81" s="2"/>
      <c r="V81" s="2"/>
      <c r="W81" s="2"/>
      <c r="X81" s="2"/>
      <c r="Y81" s="2"/>
      <c r="Z81" s="2"/>
      <c r="AA81" s="2"/>
    </row>
    <row r="82" spans="2:27" ht="14.25" customHeight="1">
      <c r="B82" s="75"/>
      <c r="C82" s="2"/>
      <c r="D82" s="2"/>
      <c r="E82" s="2"/>
      <c r="F82" s="2"/>
      <c r="G82" s="2"/>
      <c r="H82" s="2"/>
      <c r="I82" s="2"/>
      <c r="J82" s="2"/>
      <c r="K82" s="2"/>
      <c r="L82" s="2"/>
      <c r="M82" s="2"/>
      <c r="N82" s="2"/>
      <c r="O82" s="2"/>
      <c r="P82" s="2"/>
      <c r="Q82" s="2"/>
      <c r="R82" s="2"/>
      <c r="S82" s="2"/>
      <c r="T82" s="2"/>
      <c r="U82" s="2"/>
      <c r="V82" s="2"/>
      <c r="W82" s="2"/>
      <c r="X82" s="2"/>
      <c r="Y82" s="2"/>
      <c r="Z82" s="2"/>
      <c r="AA82" s="2"/>
    </row>
    <row r="83" spans="2:27" ht="14.25" customHeight="1">
      <c r="B83" s="75"/>
      <c r="C83" s="2"/>
      <c r="D83" s="2"/>
      <c r="E83" s="2"/>
      <c r="F83" s="2"/>
      <c r="G83" s="2"/>
      <c r="H83" s="2"/>
      <c r="I83" s="2"/>
      <c r="J83" s="2"/>
      <c r="K83" s="2"/>
      <c r="L83" s="2"/>
      <c r="M83" s="2"/>
      <c r="N83" s="2"/>
      <c r="O83" s="2"/>
      <c r="P83" s="2"/>
      <c r="Q83" s="2"/>
      <c r="R83" s="2"/>
      <c r="S83" s="2"/>
      <c r="T83" s="2"/>
      <c r="U83" s="2"/>
      <c r="V83" s="2"/>
      <c r="W83" s="2"/>
      <c r="X83" s="2"/>
      <c r="Y83" s="2"/>
      <c r="Z83" s="2"/>
      <c r="AA83" s="2"/>
    </row>
    <row r="84" spans="2:27" ht="14.25" customHeight="1">
      <c r="B84" s="75"/>
      <c r="C84" s="2"/>
      <c r="D84" s="2"/>
      <c r="E84" s="2"/>
      <c r="F84" s="2"/>
      <c r="G84" s="2"/>
      <c r="H84" s="2"/>
      <c r="I84" s="2"/>
      <c r="J84" s="2"/>
      <c r="K84" s="2"/>
      <c r="L84" s="2"/>
      <c r="M84" s="2"/>
      <c r="N84" s="2"/>
      <c r="O84" s="2"/>
      <c r="P84" s="2"/>
      <c r="Q84" s="2"/>
      <c r="R84" s="2"/>
      <c r="S84" s="2"/>
      <c r="T84" s="2"/>
      <c r="U84" s="2"/>
      <c r="V84" s="2"/>
      <c r="W84" s="2"/>
      <c r="X84" s="2"/>
      <c r="Y84" s="2"/>
      <c r="Z84" s="2"/>
      <c r="AA84" s="2"/>
    </row>
    <row r="85" spans="2:27" ht="14.25" customHeight="1">
      <c r="B85" s="75"/>
      <c r="C85" s="2"/>
      <c r="D85" s="2"/>
      <c r="E85" s="2"/>
      <c r="F85" s="2"/>
      <c r="G85" s="2"/>
      <c r="H85" s="2"/>
      <c r="I85" s="2"/>
      <c r="J85" s="2"/>
      <c r="K85" s="2"/>
      <c r="L85" s="2"/>
      <c r="M85" s="2"/>
      <c r="N85" s="2"/>
      <c r="O85" s="2"/>
      <c r="P85" s="2"/>
      <c r="Q85" s="2"/>
      <c r="R85" s="2"/>
      <c r="S85" s="2"/>
      <c r="T85" s="2"/>
      <c r="U85" s="2"/>
      <c r="V85" s="2"/>
      <c r="W85" s="2"/>
      <c r="X85" s="2"/>
      <c r="Y85" s="2"/>
      <c r="Z85" s="2"/>
      <c r="AA85" s="2"/>
    </row>
    <row r="86" spans="2:27" ht="14.25" customHeight="1">
      <c r="B86" s="75"/>
      <c r="C86" s="2"/>
      <c r="D86" s="2"/>
      <c r="E86" s="2"/>
      <c r="F86" s="2"/>
      <c r="G86" s="2"/>
      <c r="H86" s="2"/>
      <c r="I86" s="2"/>
      <c r="J86" s="2"/>
      <c r="K86" s="2"/>
      <c r="L86" s="2"/>
      <c r="M86" s="2"/>
      <c r="N86" s="2"/>
      <c r="O86" s="2"/>
      <c r="P86" s="2"/>
      <c r="Q86" s="2"/>
      <c r="R86" s="2"/>
      <c r="S86" s="2"/>
      <c r="T86" s="2"/>
      <c r="U86" s="2"/>
      <c r="V86" s="2"/>
      <c r="W86" s="2"/>
      <c r="X86" s="2"/>
      <c r="Y86" s="2"/>
      <c r="Z86" s="2"/>
      <c r="AA86" s="2"/>
    </row>
    <row r="87" spans="2:27" ht="14.25" customHeight="1">
      <c r="B87" s="75"/>
      <c r="C87" s="2"/>
      <c r="D87" s="2"/>
      <c r="E87" s="2"/>
      <c r="F87" s="2"/>
      <c r="G87" s="2"/>
      <c r="H87" s="2"/>
      <c r="I87" s="2"/>
      <c r="J87" s="2"/>
      <c r="K87" s="2"/>
      <c r="L87" s="2"/>
      <c r="M87" s="2"/>
      <c r="N87" s="2"/>
      <c r="O87" s="2"/>
      <c r="P87" s="2"/>
      <c r="Q87" s="2"/>
      <c r="R87" s="2"/>
      <c r="S87" s="2"/>
      <c r="T87" s="2"/>
      <c r="U87" s="2"/>
      <c r="V87" s="2"/>
      <c r="W87" s="2"/>
      <c r="X87" s="2"/>
      <c r="Y87" s="2"/>
      <c r="Z87" s="2"/>
      <c r="AA87" s="2"/>
    </row>
    <row r="88" spans="2:27" ht="14.25" customHeight="1">
      <c r="B88" s="75"/>
      <c r="C88" s="2"/>
      <c r="D88" s="2"/>
      <c r="E88" s="2"/>
      <c r="F88" s="2"/>
      <c r="G88" s="2"/>
      <c r="H88" s="2"/>
      <c r="I88" s="2"/>
      <c r="J88" s="2"/>
      <c r="K88" s="2"/>
      <c r="L88" s="2"/>
      <c r="M88" s="2"/>
      <c r="N88" s="2"/>
      <c r="O88" s="2"/>
      <c r="P88" s="2"/>
      <c r="Q88" s="2"/>
      <c r="R88" s="2"/>
      <c r="S88" s="2"/>
      <c r="T88" s="2"/>
      <c r="U88" s="2"/>
      <c r="V88" s="2"/>
      <c r="W88" s="2"/>
      <c r="X88" s="2"/>
      <c r="Y88" s="2"/>
      <c r="Z88" s="2"/>
      <c r="AA88" s="2"/>
    </row>
    <row r="89" spans="2:27" ht="14.25" customHeight="1">
      <c r="B89" s="75"/>
      <c r="C89" s="2"/>
      <c r="D89" s="2"/>
      <c r="E89" s="2"/>
      <c r="F89" s="2"/>
      <c r="G89" s="2"/>
      <c r="H89" s="2"/>
      <c r="I89" s="2"/>
      <c r="J89" s="2"/>
      <c r="K89" s="2"/>
      <c r="L89" s="2"/>
      <c r="M89" s="2"/>
      <c r="N89" s="2"/>
      <c r="O89" s="2"/>
      <c r="P89" s="2"/>
      <c r="Q89" s="2"/>
      <c r="R89" s="2"/>
      <c r="S89" s="2"/>
      <c r="T89" s="2"/>
      <c r="U89" s="2"/>
      <c r="V89" s="2"/>
      <c r="W89" s="2"/>
      <c r="X89" s="2"/>
      <c r="Y89" s="2"/>
      <c r="Z89" s="2"/>
      <c r="AA89" s="2"/>
    </row>
    <row r="90" spans="2:27" ht="14.25" customHeight="1">
      <c r="B90" s="75"/>
      <c r="C90" s="2"/>
      <c r="D90" s="2"/>
      <c r="E90" s="2"/>
      <c r="F90" s="2"/>
      <c r="G90" s="2"/>
      <c r="H90" s="2"/>
      <c r="I90" s="2"/>
      <c r="J90" s="2"/>
      <c r="K90" s="2"/>
      <c r="L90" s="2"/>
      <c r="M90" s="2"/>
      <c r="N90" s="2"/>
      <c r="O90" s="2"/>
      <c r="P90" s="2"/>
      <c r="Q90" s="2"/>
      <c r="R90" s="2"/>
      <c r="S90" s="2"/>
      <c r="T90" s="2"/>
      <c r="U90" s="2"/>
      <c r="V90" s="2"/>
      <c r="W90" s="2"/>
      <c r="X90" s="2"/>
      <c r="Y90" s="2"/>
      <c r="Z90" s="2"/>
      <c r="AA90" s="2"/>
    </row>
    <row r="91" spans="2:27" ht="14.25" customHeight="1">
      <c r="B91" s="75"/>
      <c r="C91" s="2"/>
      <c r="D91" s="2"/>
      <c r="E91" s="2"/>
      <c r="F91" s="2"/>
      <c r="G91" s="2"/>
      <c r="H91" s="2"/>
      <c r="I91" s="2"/>
      <c r="J91" s="2"/>
      <c r="K91" s="2"/>
      <c r="L91" s="2"/>
      <c r="M91" s="2"/>
      <c r="N91" s="2"/>
      <c r="O91" s="2"/>
      <c r="P91" s="2"/>
      <c r="Q91" s="2"/>
      <c r="R91" s="2"/>
      <c r="S91" s="2"/>
      <c r="T91" s="2"/>
      <c r="U91" s="2"/>
      <c r="V91" s="2"/>
      <c r="W91" s="2"/>
      <c r="X91" s="2"/>
      <c r="Y91" s="2"/>
      <c r="Z91" s="2"/>
      <c r="AA91" s="2"/>
    </row>
    <row r="92" spans="2:27" ht="14.25" customHeight="1">
      <c r="B92" s="75"/>
      <c r="C92" s="2"/>
      <c r="D92" s="2"/>
      <c r="E92" s="2"/>
      <c r="F92" s="2"/>
      <c r="G92" s="2"/>
      <c r="H92" s="2"/>
      <c r="I92" s="2"/>
      <c r="J92" s="2"/>
      <c r="K92" s="2"/>
      <c r="L92" s="2"/>
      <c r="M92" s="2"/>
      <c r="N92" s="2"/>
      <c r="O92" s="2"/>
      <c r="P92" s="2"/>
      <c r="Q92" s="2"/>
      <c r="R92" s="2"/>
      <c r="S92" s="2"/>
      <c r="T92" s="2"/>
      <c r="U92" s="2"/>
      <c r="V92" s="2"/>
      <c r="W92" s="2"/>
      <c r="X92" s="2"/>
      <c r="Y92" s="2"/>
      <c r="Z92" s="2"/>
      <c r="AA92" s="2"/>
    </row>
    <row r="93" spans="2:27" ht="14.25" customHeight="1">
      <c r="B93" s="75"/>
      <c r="C93" s="2"/>
      <c r="D93" s="2"/>
      <c r="E93" s="2"/>
      <c r="F93" s="2"/>
      <c r="G93" s="2"/>
      <c r="H93" s="2"/>
      <c r="I93" s="2"/>
      <c r="J93" s="2"/>
      <c r="K93" s="2"/>
      <c r="L93" s="2"/>
      <c r="M93" s="2"/>
      <c r="N93" s="2"/>
      <c r="O93" s="2"/>
      <c r="P93" s="2"/>
      <c r="Q93" s="2"/>
      <c r="R93" s="2"/>
      <c r="S93" s="2"/>
      <c r="T93" s="2"/>
      <c r="U93" s="2"/>
      <c r="V93" s="2"/>
      <c r="W93" s="2"/>
      <c r="X93" s="2"/>
      <c r="Y93" s="2"/>
      <c r="Z93" s="2"/>
      <c r="AA93" s="2"/>
    </row>
    <row r="94" spans="2:27" ht="14.25" customHeight="1">
      <c r="B94" s="75"/>
      <c r="C94" s="2"/>
      <c r="D94" s="2"/>
      <c r="E94" s="2"/>
      <c r="F94" s="2"/>
      <c r="G94" s="2"/>
      <c r="H94" s="2"/>
      <c r="I94" s="2"/>
      <c r="J94" s="2"/>
      <c r="K94" s="2"/>
      <c r="L94" s="2"/>
      <c r="M94" s="2"/>
      <c r="N94" s="2"/>
      <c r="O94" s="2"/>
      <c r="P94" s="2"/>
      <c r="Q94" s="2"/>
      <c r="R94" s="2"/>
      <c r="S94" s="2"/>
      <c r="T94" s="2"/>
      <c r="U94" s="2"/>
      <c r="V94" s="2"/>
      <c r="W94" s="2"/>
      <c r="X94" s="2"/>
      <c r="Y94" s="2"/>
      <c r="Z94" s="2"/>
      <c r="AA94" s="2"/>
    </row>
    <row r="95" spans="2:27" ht="14.25" customHeight="1">
      <c r="B95" s="75"/>
      <c r="C95" s="2"/>
      <c r="D95" s="2"/>
      <c r="E95" s="2"/>
      <c r="F95" s="2"/>
      <c r="G95" s="2"/>
      <c r="H95" s="2"/>
      <c r="I95" s="2"/>
      <c r="J95" s="2"/>
      <c r="K95" s="2"/>
      <c r="L95" s="2"/>
      <c r="M95" s="2"/>
      <c r="N95" s="2"/>
      <c r="O95" s="2"/>
      <c r="P95" s="2"/>
      <c r="Q95" s="2"/>
      <c r="R95" s="2"/>
      <c r="S95" s="2"/>
      <c r="T95" s="2"/>
      <c r="U95" s="2"/>
      <c r="V95" s="2"/>
      <c r="W95" s="2"/>
      <c r="X95" s="2"/>
      <c r="Y95" s="2"/>
      <c r="Z95" s="2"/>
      <c r="AA95" s="2"/>
    </row>
    <row r="96" spans="2:27" ht="14.25" customHeight="1">
      <c r="B96" s="75"/>
      <c r="C96" s="2"/>
      <c r="D96" s="2"/>
      <c r="E96" s="2"/>
      <c r="F96" s="2"/>
      <c r="G96" s="2"/>
      <c r="H96" s="2"/>
      <c r="I96" s="2"/>
      <c r="J96" s="2"/>
      <c r="K96" s="2"/>
      <c r="L96" s="2"/>
      <c r="M96" s="2"/>
      <c r="N96" s="2"/>
      <c r="O96" s="2"/>
      <c r="P96" s="2"/>
      <c r="Q96" s="2"/>
      <c r="R96" s="2"/>
      <c r="S96" s="2"/>
      <c r="T96" s="2"/>
      <c r="U96" s="2"/>
      <c r="V96" s="2"/>
      <c r="W96" s="2"/>
      <c r="X96" s="2"/>
      <c r="Y96" s="2"/>
      <c r="Z96" s="2"/>
      <c r="AA96" s="2"/>
    </row>
    <row r="97" spans="2:27" ht="14.25" customHeight="1">
      <c r="B97" s="75"/>
      <c r="C97" s="2"/>
      <c r="D97" s="2"/>
      <c r="E97" s="2"/>
      <c r="F97" s="2"/>
      <c r="G97" s="2"/>
      <c r="H97" s="2"/>
      <c r="I97" s="2"/>
      <c r="J97" s="2"/>
      <c r="K97" s="2"/>
      <c r="L97" s="2"/>
      <c r="M97" s="2"/>
      <c r="N97" s="2"/>
      <c r="O97" s="2"/>
      <c r="P97" s="2"/>
      <c r="Q97" s="2"/>
      <c r="R97" s="2"/>
      <c r="S97" s="2"/>
      <c r="T97" s="2"/>
      <c r="U97" s="2"/>
      <c r="V97" s="2"/>
      <c r="W97" s="2"/>
      <c r="X97" s="2"/>
      <c r="Y97" s="2"/>
      <c r="Z97" s="2"/>
      <c r="AA97" s="2"/>
    </row>
    <row r="98" spans="2:27" ht="14.25" customHeight="1">
      <c r="B98" s="75"/>
      <c r="C98" s="2"/>
      <c r="D98" s="2"/>
      <c r="E98" s="2"/>
      <c r="F98" s="2"/>
      <c r="G98" s="2"/>
      <c r="H98" s="2"/>
      <c r="I98" s="2"/>
      <c r="J98" s="2"/>
      <c r="K98" s="2"/>
      <c r="L98" s="2"/>
      <c r="M98" s="2"/>
      <c r="N98" s="2"/>
      <c r="O98" s="2"/>
      <c r="P98" s="2"/>
      <c r="Q98" s="2"/>
      <c r="R98" s="2"/>
      <c r="S98" s="2"/>
      <c r="T98" s="2"/>
      <c r="U98" s="2"/>
      <c r="V98" s="2"/>
      <c r="W98" s="2"/>
      <c r="X98" s="2"/>
      <c r="Y98" s="2"/>
      <c r="Z98" s="2"/>
      <c r="AA98" s="2"/>
    </row>
    <row r="99" spans="2:27" ht="14.25" customHeight="1">
      <c r="B99" s="75"/>
      <c r="C99" s="2"/>
      <c r="D99" s="2"/>
      <c r="E99" s="2"/>
      <c r="F99" s="2"/>
      <c r="G99" s="2"/>
      <c r="H99" s="2"/>
      <c r="I99" s="2"/>
      <c r="J99" s="2"/>
      <c r="K99" s="2"/>
      <c r="L99" s="2"/>
      <c r="M99" s="2"/>
      <c r="N99" s="2"/>
      <c r="O99" s="2"/>
      <c r="P99" s="2"/>
      <c r="Q99" s="2"/>
      <c r="R99" s="2"/>
      <c r="S99" s="2"/>
      <c r="T99" s="2"/>
      <c r="U99" s="2"/>
      <c r="V99" s="2"/>
      <c r="W99" s="2"/>
      <c r="X99" s="2"/>
      <c r="Y99" s="2"/>
      <c r="Z99" s="2"/>
      <c r="AA99" s="2"/>
    </row>
    <row r="100" spans="2:27" ht="14.25" customHeight="1">
      <c r="B100" s="75"/>
      <c r="C100" s="2"/>
      <c r="D100" s="2"/>
      <c r="E100" s="2"/>
      <c r="F100" s="2"/>
      <c r="G100" s="2"/>
      <c r="H100" s="2"/>
      <c r="I100" s="2"/>
      <c r="J100" s="2"/>
      <c r="K100" s="2"/>
      <c r="L100" s="2"/>
      <c r="M100" s="2"/>
      <c r="N100" s="2"/>
      <c r="O100" s="2"/>
      <c r="P100" s="2"/>
      <c r="Q100" s="2"/>
      <c r="R100" s="2"/>
      <c r="S100" s="2"/>
      <c r="T100" s="2"/>
      <c r="U100" s="2"/>
      <c r="V100" s="2"/>
      <c r="W100" s="2"/>
      <c r="X100" s="2"/>
      <c r="Y100" s="2"/>
      <c r="Z100" s="2"/>
      <c r="AA100" s="2"/>
    </row>
    <row r="101" spans="2:27" ht="14.25" customHeight="1">
      <c r="B101" s="75"/>
      <c r="C101" s="2"/>
      <c r="D101" s="2"/>
      <c r="E101" s="2"/>
      <c r="F101" s="2"/>
      <c r="G101" s="2"/>
      <c r="H101" s="2"/>
      <c r="I101" s="2"/>
      <c r="J101" s="2"/>
      <c r="K101" s="2"/>
      <c r="L101" s="2"/>
      <c r="M101" s="2"/>
      <c r="N101" s="2"/>
      <c r="O101" s="2"/>
      <c r="P101" s="2"/>
      <c r="Q101" s="2"/>
      <c r="R101" s="2"/>
      <c r="S101" s="2"/>
      <c r="T101" s="2"/>
      <c r="U101" s="2"/>
      <c r="V101" s="2"/>
      <c r="W101" s="2"/>
      <c r="X101" s="2"/>
      <c r="Y101" s="2"/>
      <c r="Z101" s="2"/>
      <c r="AA101" s="2"/>
    </row>
    <row r="102" spans="2:27" ht="14.25" customHeight="1">
      <c r="B102" s="75"/>
      <c r="C102" s="2"/>
      <c r="D102" s="2"/>
      <c r="E102" s="2"/>
      <c r="F102" s="2"/>
      <c r="G102" s="2"/>
      <c r="H102" s="2"/>
      <c r="I102" s="2"/>
      <c r="J102" s="2"/>
      <c r="K102" s="2"/>
      <c r="L102" s="2"/>
      <c r="M102" s="2"/>
      <c r="N102" s="2"/>
      <c r="O102" s="2"/>
      <c r="P102" s="2"/>
      <c r="Q102" s="2"/>
      <c r="R102" s="2"/>
      <c r="S102" s="2"/>
      <c r="T102" s="2"/>
      <c r="U102" s="2"/>
      <c r="V102" s="2"/>
      <c r="W102" s="2"/>
      <c r="X102" s="2"/>
      <c r="Y102" s="2"/>
      <c r="Z102" s="2"/>
      <c r="AA102" s="2"/>
    </row>
    <row r="103" spans="2:27" ht="14.25" customHeight="1">
      <c r="B103" s="75"/>
      <c r="C103" s="2"/>
      <c r="D103" s="2"/>
      <c r="E103" s="2"/>
      <c r="F103" s="2"/>
      <c r="G103" s="2"/>
      <c r="H103" s="2"/>
      <c r="I103" s="2"/>
      <c r="J103" s="2"/>
      <c r="K103" s="2"/>
      <c r="L103" s="2"/>
      <c r="M103" s="2"/>
      <c r="N103" s="2"/>
      <c r="O103" s="2"/>
      <c r="P103" s="2"/>
      <c r="Q103" s="2"/>
      <c r="R103" s="2"/>
      <c r="S103" s="2"/>
      <c r="T103" s="2"/>
      <c r="U103" s="2"/>
      <c r="V103" s="2"/>
      <c r="W103" s="2"/>
      <c r="X103" s="2"/>
      <c r="Y103" s="2"/>
      <c r="Z103" s="2"/>
      <c r="AA103" s="2"/>
    </row>
    <row r="104" spans="2:27" ht="14.25" customHeight="1">
      <c r="B104" s="75"/>
      <c r="C104" s="2"/>
      <c r="D104" s="2"/>
      <c r="E104" s="2"/>
      <c r="F104" s="2"/>
      <c r="G104" s="2"/>
      <c r="H104" s="2"/>
      <c r="I104" s="2"/>
      <c r="J104" s="2"/>
      <c r="K104" s="2"/>
      <c r="L104" s="2"/>
      <c r="M104" s="2"/>
      <c r="N104" s="2"/>
      <c r="O104" s="2"/>
      <c r="P104" s="2"/>
      <c r="Q104" s="2"/>
      <c r="R104" s="2"/>
      <c r="S104" s="2"/>
      <c r="T104" s="2"/>
      <c r="U104" s="2"/>
      <c r="V104" s="2"/>
      <c r="W104" s="2"/>
      <c r="X104" s="2"/>
      <c r="Y104" s="2"/>
      <c r="Z104" s="2"/>
      <c r="AA104" s="2"/>
    </row>
    <row r="105" spans="2:27" ht="14.25" customHeight="1">
      <c r="B105" s="75"/>
      <c r="C105" s="2"/>
      <c r="D105" s="2"/>
      <c r="E105" s="2"/>
      <c r="F105" s="2"/>
      <c r="G105" s="2"/>
      <c r="H105" s="2"/>
      <c r="I105" s="2"/>
      <c r="J105" s="2"/>
      <c r="K105" s="2"/>
      <c r="L105" s="2"/>
      <c r="M105" s="2"/>
      <c r="N105" s="2"/>
      <c r="O105" s="2"/>
      <c r="P105" s="2"/>
      <c r="Q105" s="2"/>
      <c r="R105" s="2"/>
      <c r="S105" s="2"/>
      <c r="T105" s="2"/>
      <c r="U105" s="2"/>
      <c r="V105" s="2"/>
      <c r="W105" s="2"/>
      <c r="X105" s="2"/>
      <c r="Y105" s="2"/>
      <c r="Z105" s="2"/>
      <c r="AA105" s="2"/>
    </row>
    <row r="106" spans="2:27" ht="14.25" customHeight="1">
      <c r="B106" s="75"/>
      <c r="C106" s="2"/>
      <c r="D106" s="2"/>
      <c r="E106" s="2"/>
      <c r="F106" s="2"/>
      <c r="G106" s="2"/>
      <c r="H106" s="2"/>
      <c r="I106" s="2"/>
      <c r="J106" s="2"/>
      <c r="K106" s="2"/>
      <c r="L106" s="2"/>
      <c r="M106" s="2"/>
      <c r="N106" s="2"/>
      <c r="O106" s="2"/>
      <c r="P106" s="2"/>
      <c r="Q106" s="2"/>
      <c r="R106" s="2"/>
      <c r="S106" s="2"/>
      <c r="T106" s="2"/>
      <c r="U106" s="2"/>
      <c r="V106" s="2"/>
      <c r="W106" s="2"/>
      <c r="X106" s="2"/>
      <c r="Y106" s="2"/>
      <c r="Z106" s="2"/>
      <c r="AA106" s="2"/>
    </row>
    <row r="107" spans="2:27" ht="14.25" customHeight="1">
      <c r="B107" s="75"/>
      <c r="C107" s="2"/>
      <c r="D107" s="2"/>
      <c r="E107" s="2"/>
      <c r="F107" s="2"/>
      <c r="G107" s="2"/>
      <c r="H107" s="2"/>
      <c r="I107" s="2"/>
      <c r="J107" s="2"/>
      <c r="K107" s="2"/>
      <c r="L107" s="2"/>
      <c r="M107" s="2"/>
      <c r="N107" s="2"/>
      <c r="O107" s="2"/>
      <c r="P107" s="2"/>
      <c r="Q107" s="2"/>
      <c r="R107" s="2"/>
      <c r="S107" s="2"/>
      <c r="T107" s="2"/>
      <c r="U107" s="2"/>
      <c r="V107" s="2"/>
      <c r="W107" s="2"/>
      <c r="X107" s="2"/>
      <c r="Y107" s="2"/>
      <c r="Z107" s="2"/>
      <c r="AA107" s="2"/>
    </row>
    <row r="108" spans="2:27" ht="14.25" customHeight="1">
      <c r="B108" s="75"/>
      <c r="C108" s="2"/>
      <c r="D108" s="2"/>
      <c r="E108" s="2"/>
      <c r="F108" s="2"/>
      <c r="G108" s="2"/>
      <c r="H108" s="2"/>
      <c r="I108" s="2"/>
      <c r="J108" s="2"/>
      <c r="K108" s="2"/>
      <c r="L108" s="2"/>
      <c r="M108" s="2"/>
      <c r="N108" s="2"/>
      <c r="O108" s="2"/>
      <c r="P108" s="2"/>
      <c r="Q108" s="2"/>
      <c r="R108" s="2"/>
      <c r="S108" s="2"/>
      <c r="T108" s="2"/>
      <c r="U108" s="2"/>
      <c r="V108" s="2"/>
      <c r="W108" s="2"/>
      <c r="X108" s="2"/>
      <c r="Y108" s="2"/>
      <c r="Z108" s="2"/>
      <c r="AA108" s="2"/>
    </row>
    <row r="109" spans="2:27" ht="14.25" customHeight="1">
      <c r="B109" s="75"/>
      <c r="C109" s="2"/>
      <c r="D109" s="2"/>
      <c r="E109" s="2"/>
      <c r="F109" s="2"/>
      <c r="G109" s="2"/>
      <c r="H109" s="2"/>
      <c r="I109" s="2"/>
      <c r="J109" s="2"/>
      <c r="K109" s="2"/>
      <c r="L109" s="2"/>
      <c r="M109" s="2"/>
      <c r="N109" s="2"/>
      <c r="O109" s="2"/>
      <c r="P109" s="2"/>
      <c r="Q109" s="2"/>
      <c r="R109" s="2"/>
      <c r="S109" s="2"/>
      <c r="T109" s="2"/>
      <c r="U109" s="2"/>
      <c r="V109" s="2"/>
      <c r="W109" s="2"/>
      <c r="X109" s="2"/>
      <c r="Y109" s="2"/>
      <c r="Z109" s="2"/>
      <c r="AA109" s="2"/>
    </row>
    <row r="110" spans="2:27" ht="14.25" customHeight="1">
      <c r="B110" s="75"/>
      <c r="C110" s="2"/>
      <c r="D110" s="2"/>
      <c r="E110" s="2"/>
      <c r="F110" s="2"/>
      <c r="G110" s="2"/>
      <c r="H110" s="2"/>
      <c r="I110" s="2"/>
      <c r="J110" s="2"/>
      <c r="K110" s="2"/>
      <c r="L110" s="2"/>
      <c r="M110" s="2"/>
      <c r="N110" s="2"/>
      <c r="O110" s="2"/>
      <c r="P110" s="2"/>
      <c r="Q110" s="2"/>
      <c r="R110" s="2"/>
      <c r="S110" s="2"/>
      <c r="T110" s="2"/>
      <c r="U110" s="2"/>
      <c r="V110" s="2"/>
      <c r="W110" s="2"/>
      <c r="X110" s="2"/>
      <c r="Y110" s="2"/>
      <c r="Z110" s="2"/>
      <c r="AA110" s="2"/>
    </row>
    <row r="111" spans="2:27" ht="14.25" customHeight="1">
      <c r="B111" s="75"/>
      <c r="C111" s="2"/>
      <c r="D111" s="2"/>
      <c r="E111" s="2"/>
      <c r="F111" s="2"/>
      <c r="G111" s="2"/>
      <c r="H111" s="2"/>
      <c r="I111" s="2"/>
      <c r="J111" s="2"/>
      <c r="K111" s="2"/>
      <c r="L111" s="2"/>
      <c r="M111" s="2"/>
      <c r="N111" s="2"/>
      <c r="O111" s="2"/>
      <c r="P111" s="2"/>
      <c r="Q111" s="2"/>
      <c r="R111" s="2"/>
      <c r="S111" s="2"/>
      <c r="T111" s="2"/>
      <c r="U111" s="2"/>
      <c r="V111" s="2"/>
      <c r="W111" s="2"/>
      <c r="X111" s="2"/>
      <c r="Y111" s="2"/>
      <c r="Z111" s="2"/>
      <c r="AA111" s="2"/>
    </row>
    <row r="112" spans="2:27" ht="14.25" customHeight="1">
      <c r="B112" s="75"/>
      <c r="C112" s="2"/>
      <c r="D112" s="2"/>
      <c r="E112" s="2"/>
      <c r="F112" s="2"/>
      <c r="G112" s="2"/>
      <c r="H112" s="2"/>
      <c r="I112" s="2"/>
      <c r="J112" s="2"/>
      <c r="K112" s="2"/>
      <c r="L112" s="2"/>
      <c r="M112" s="2"/>
      <c r="N112" s="2"/>
      <c r="O112" s="2"/>
      <c r="P112" s="2"/>
      <c r="Q112" s="2"/>
      <c r="R112" s="2"/>
      <c r="S112" s="2"/>
      <c r="T112" s="2"/>
      <c r="U112" s="2"/>
      <c r="V112" s="2"/>
      <c r="W112" s="2"/>
      <c r="X112" s="2"/>
      <c r="Y112" s="2"/>
      <c r="Z112" s="2"/>
      <c r="AA112" s="2"/>
    </row>
    <row r="113" spans="2:27" ht="14.25" customHeight="1">
      <c r="B113" s="75"/>
      <c r="C113" s="2"/>
      <c r="D113" s="2"/>
      <c r="E113" s="2"/>
      <c r="F113" s="2"/>
      <c r="G113" s="2"/>
      <c r="H113" s="2"/>
      <c r="I113" s="2"/>
      <c r="J113" s="2"/>
      <c r="K113" s="2"/>
      <c r="L113" s="2"/>
      <c r="M113" s="2"/>
      <c r="N113" s="2"/>
      <c r="O113" s="2"/>
      <c r="P113" s="2"/>
      <c r="Q113" s="2"/>
      <c r="R113" s="2"/>
      <c r="S113" s="2"/>
      <c r="T113" s="2"/>
      <c r="U113" s="2"/>
      <c r="V113" s="2"/>
      <c r="W113" s="2"/>
      <c r="X113" s="2"/>
      <c r="Y113" s="2"/>
      <c r="Z113" s="2"/>
      <c r="AA113" s="2"/>
    </row>
    <row r="114" spans="2:27" ht="14.25" customHeight="1">
      <c r="B114" s="75"/>
      <c r="C114" s="2"/>
      <c r="D114" s="2"/>
      <c r="E114" s="2"/>
      <c r="F114" s="2"/>
      <c r="G114" s="2"/>
      <c r="H114" s="2"/>
      <c r="I114" s="2"/>
      <c r="J114" s="2"/>
      <c r="K114" s="2"/>
      <c r="L114" s="2"/>
      <c r="M114" s="2"/>
      <c r="N114" s="2"/>
      <c r="O114" s="2"/>
      <c r="P114" s="2"/>
      <c r="Q114" s="2"/>
      <c r="R114" s="2"/>
      <c r="S114" s="2"/>
      <c r="T114" s="2"/>
      <c r="U114" s="2"/>
      <c r="V114" s="2"/>
      <c r="W114" s="2"/>
      <c r="X114" s="2"/>
      <c r="Y114" s="2"/>
      <c r="Z114" s="2"/>
      <c r="AA114" s="2"/>
    </row>
    <row r="115" spans="2:27" ht="14.25" customHeight="1">
      <c r="B115" s="75"/>
      <c r="C115" s="2"/>
      <c r="D115" s="2"/>
      <c r="E115" s="2"/>
      <c r="F115" s="2"/>
      <c r="G115" s="2"/>
      <c r="H115" s="2"/>
      <c r="I115" s="2"/>
      <c r="J115" s="2"/>
      <c r="K115" s="2"/>
      <c r="L115" s="2"/>
      <c r="M115" s="2"/>
      <c r="N115" s="2"/>
      <c r="O115" s="2"/>
      <c r="P115" s="2"/>
      <c r="Q115" s="2"/>
      <c r="R115" s="2"/>
      <c r="S115" s="2"/>
      <c r="T115" s="2"/>
      <c r="U115" s="2"/>
      <c r="V115" s="2"/>
      <c r="W115" s="2"/>
      <c r="X115" s="2"/>
      <c r="Y115" s="2"/>
      <c r="Z115" s="2"/>
      <c r="AA115" s="2"/>
    </row>
    <row r="116" spans="2:27" ht="14.25" customHeight="1">
      <c r="B116" s="75"/>
      <c r="C116" s="2"/>
      <c r="D116" s="2"/>
      <c r="E116" s="2"/>
      <c r="F116" s="2"/>
      <c r="G116" s="2"/>
      <c r="H116" s="2"/>
      <c r="I116" s="2"/>
      <c r="J116" s="2"/>
      <c r="K116" s="2"/>
      <c r="L116" s="2"/>
      <c r="M116" s="2"/>
      <c r="N116" s="2"/>
      <c r="O116" s="2"/>
      <c r="P116" s="2"/>
      <c r="Q116" s="2"/>
      <c r="R116" s="2"/>
      <c r="S116" s="2"/>
      <c r="T116" s="2"/>
      <c r="U116" s="2"/>
      <c r="V116" s="2"/>
      <c r="W116" s="2"/>
      <c r="X116" s="2"/>
      <c r="Y116" s="2"/>
      <c r="Z116" s="2"/>
      <c r="AA116" s="2"/>
    </row>
    <row r="117" spans="2:27" ht="14.25" customHeight="1">
      <c r="B117" s="75"/>
      <c r="C117" s="2"/>
      <c r="D117" s="2"/>
      <c r="E117" s="2"/>
      <c r="F117" s="2"/>
      <c r="G117" s="2"/>
      <c r="H117" s="2"/>
      <c r="I117" s="2"/>
      <c r="J117" s="2"/>
      <c r="K117" s="2"/>
      <c r="L117" s="2"/>
      <c r="M117" s="2"/>
      <c r="N117" s="2"/>
      <c r="O117" s="2"/>
      <c r="P117" s="2"/>
      <c r="Q117" s="2"/>
      <c r="R117" s="2"/>
      <c r="S117" s="2"/>
      <c r="T117" s="2"/>
      <c r="U117" s="2"/>
      <c r="V117" s="2"/>
      <c r="W117" s="2"/>
      <c r="X117" s="2"/>
      <c r="Y117" s="2"/>
      <c r="Z117" s="2"/>
      <c r="AA117" s="2"/>
    </row>
    <row r="118" spans="2:27" ht="14.25" customHeight="1">
      <c r="B118" s="75"/>
      <c r="C118" s="2"/>
      <c r="D118" s="2"/>
      <c r="E118" s="2"/>
      <c r="F118" s="2"/>
      <c r="G118" s="2"/>
      <c r="H118" s="2"/>
      <c r="I118" s="2"/>
      <c r="J118" s="2"/>
      <c r="K118" s="2"/>
      <c r="L118" s="2"/>
      <c r="M118" s="2"/>
      <c r="N118" s="2"/>
      <c r="O118" s="2"/>
      <c r="P118" s="2"/>
      <c r="Q118" s="2"/>
      <c r="R118" s="2"/>
      <c r="S118" s="2"/>
      <c r="T118" s="2"/>
      <c r="U118" s="2"/>
      <c r="V118" s="2"/>
      <c r="W118" s="2"/>
      <c r="X118" s="2"/>
      <c r="Y118" s="2"/>
      <c r="Z118" s="2"/>
      <c r="AA118" s="2"/>
    </row>
    <row r="119" spans="2:27" ht="14.25" customHeight="1">
      <c r="B119" s="75"/>
      <c r="C119" s="2"/>
      <c r="D119" s="2"/>
      <c r="E119" s="2"/>
      <c r="F119" s="2"/>
      <c r="G119" s="2"/>
      <c r="H119" s="2"/>
      <c r="I119" s="2"/>
      <c r="J119" s="2"/>
      <c r="K119" s="2"/>
      <c r="L119" s="2"/>
      <c r="M119" s="2"/>
      <c r="N119" s="2"/>
      <c r="O119" s="2"/>
      <c r="P119" s="2"/>
      <c r="Q119" s="2"/>
      <c r="R119" s="2"/>
      <c r="S119" s="2"/>
      <c r="T119" s="2"/>
      <c r="U119" s="2"/>
      <c r="V119" s="2"/>
      <c r="W119" s="2"/>
      <c r="X119" s="2"/>
      <c r="Y119" s="2"/>
      <c r="Z119" s="2"/>
      <c r="AA119" s="2"/>
    </row>
    <row r="120" spans="2:27" ht="14.25" customHeight="1">
      <c r="B120" s="75"/>
      <c r="C120" s="2"/>
      <c r="D120" s="2"/>
      <c r="E120" s="2"/>
      <c r="F120" s="2"/>
      <c r="G120" s="2"/>
      <c r="H120" s="2"/>
      <c r="I120" s="2"/>
      <c r="J120" s="2"/>
      <c r="K120" s="2"/>
      <c r="L120" s="2"/>
      <c r="M120" s="2"/>
      <c r="N120" s="2"/>
      <c r="O120" s="2"/>
      <c r="P120" s="2"/>
      <c r="Q120" s="2"/>
      <c r="R120" s="2"/>
      <c r="S120" s="2"/>
      <c r="T120" s="2"/>
      <c r="U120" s="2"/>
      <c r="V120" s="2"/>
      <c r="W120" s="2"/>
      <c r="X120" s="2"/>
      <c r="Y120" s="2"/>
      <c r="Z120" s="2"/>
      <c r="AA120" s="2"/>
    </row>
    <row r="121" spans="2:27" ht="14.25" customHeight="1">
      <c r="B121" s="75"/>
      <c r="C121" s="2"/>
      <c r="D121" s="2"/>
      <c r="E121" s="2"/>
      <c r="F121" s="2"/>
      <c r="G121" s="2"/>
      <c r="H121" s="2"/>
      <c r="I121" s="2"/>
      <c r="J121" s="2"/>
      <c r="K121" s="2"/>
      <c r="L121" s="2"/>
      <c r="M121" s="2"/>
      <c r="N121" s="2"/>
      <c r="O121" s="2"/>
      <c r="P121" s="2"/>
      <c r="Q121" s="2"/>
      <c r="R121" s="2"/>
      <c r="S121" s="2"/>
      <c r="T121" s="2"/>
      <c r="U121" s="2"/>
      <c r="V121" s="2"/>
      <c r="W121" s="2"/>
      <c r="X121" s="2"/>
      <c r="Y121" s="2"/>
      <c r="Z121" s="2"/>
      <c r="AA121" s="2"/>
    </row>
    <row r="122" spans="2:27" ht="14.25" customHeight="1">
      <c r="B122" s="75"/>
      <c r="C122" s="2"/>
      <c r="D122" s="2"/>
      <c r="E122" s="2"/>
      <c r="F122" s="2"/>
      <c r="G122" s="2"/>
      <c r="H122" s="2"/>
      <c r="I122" s="2"/>
      <c r="J122" s="2"/>
      <c r="K122" s="2"/>
      <c r="L122" s="2"/>
      <c r="M122" s="2"/>
      <c r="N122" s="2"/>
      <c r="O122" s="2"/>
      <c r="P122" s="2"/>
      <c r="Q122" s="2"/>
      <c r="R122" s="2"/>
      <c r="S122" s="2"/>
      <c r="T122" s="2"/>
      <c r="U122" s="2"/>
      <c r="V122" s="2"/>
      <c r="W122" s="2"/>
      <c r="X122" s="2"/>
      <c r="Y122" s="2"/>
      <c r="Z122" s="2"/>
      <c r="AA122" s="2"/>
    </row>
    <row r="123" spans="2:27" ht="14.25" customHeight="1">
      <c r="B123" s="75"/>
      <c r="C123" s="2"/>
      <c r="D123" s="2"/>
      <c r="E123" s="2"/>
      <c r="F123" s="2"/>
      <c r="G123" s="2"/>
      <c r="H123" s="2"/>
      <c r="I123" s="2"/>
      <c r="J123" s="2"/>
      <c r="K123" s="2"/>
      <c r="L123" s="2"/>
      <c r="M123" s="2"/>
      <c r="N123" s="2"/>
      <c r="O123" s="2"/>
      <c r="P123" s="2"/>
      <c r="Q123" s="2"/>
      <c r="R123" s="2"/>
      <c r="S123" s="2"/>
      <c r="T123" s="2"/>
      <c r="U123" s="2"/>
      <c r="V123" s="2"/>
      <c r="W123" s="2"/>
      <c r="X123" s="2"/>
      <c r="Y123" s="2"/>
      <c r="Z123" s="2"/>
      <c r="AA123" s="2"/>
    </row>
    <row r="124" spans="2:27" ht="14.25" customHeight="1">
      <c r="B124" s="75"/>
      <c r="C124" s="2"/>
      <c r="D124" s="2"/>
      <c r="E124" s="2"/>
      <c r="F124" s="2"/>
      <c r="G124" s="2"/>
      <c r="H124" s="2"/>
      <c r="I124" s="2"/>
      <c r="J124" s="2"/>
      <c r="K124" s="2"/>
      <c r="L124" s="2"/>
      <c r="M124" s="2"/>
      <c r="N124" s="2"/>
      <c r="O124" s="2"/>
      <c r="P124" s="2"/>
      <c r="Q124" s="2"/>
      <c r="R124" s="2"/>
      <c r="S124" s="2"/>
      <c r="T124" s="2"/>
      <c r="U124" s="2"/>
      <c r="V124" s="2"/>
      <c r="W124" s="2"/>
      <c r="X124" s="2"/>
      <c r="Y124" s="2"/>
      <c r="Z124" s="2"/>
      <c r="AA124" s="2"/>
    </row>
    <row r="125" spans="2:27" ht="14.25" customHeight="1">
      <c r="B125" s="75"/>
      <c r="C125" s="2"/>
      <c r="D125" s="2"/>
      <c r="E125" s="2"/>
      <c r="F125" s="2"/>
      <c r="G125" s="2"/>
      <c r="H125" s="2"/>
      <c r="I125" s="2"/>
      <c r="J125" s="2"/>
      <c r="K125" s="2"/>
      <c r="L125" s="2"/>
      <c r="M125" s="2"/>
      <c r="N125" s="2"/>
      <c r="O125" s="2"/>
      <c r="P125" s="2"/>
      <c r="Q125" s="2"/>
      <c r="R125" s="2"/>
      <c r="S125" s="2"/>
      <c r="T125" s="2"/>
      <c r="U125" s="2"/>
      <c r="V125" s="2"/>
      <c r="W125" s="2"/>
      <c r="X125" s="2"/>
      <c r="Y125" s="2"/>
      <c r="Z125" s="2"/>
      <c r="AA125" s="2"/>
    </row>
    <row r="126" spans="2:27" ht="14.25" customHeight="1">
      <c r="B126" s="75"/>
      <c r="C126" s="2"/>
      <c r="D126" s="2"/>
      <c r="E126" s="2"/>
      <c r="F126" s="2"/>
      <c r="G126" s="2"/>
      <c r="H126" s="2"/>
      <c r="I126" s="2"/>
      <c r="J126" s="2"/>
      <c r="K126" s="2"/>
      <c r="L126" s="2"/>
      <c r="M126" s="2"/>
      <c r="N126" s="2"/>
      <c r="O126" s="2"/>
      <c r="P126" s="2"/>
      <c r="Q126" s="2"/>
      <c r="R126" s="2"/>
      <c r="S126" s="2"/>
      <c r="T126" s="2"/>
      <c r="U126" s="2"/>
      <c r="V126" s="2"/>
      <c r="W126" s="2"/>
      <c r="X126" s="2"/>
      <c r="Y126" s="2"/>
      <c r="Z126" s="2"/>
      <c r="AA126" s="2"/>
    </row>
    <row r="127" spans="2:27" ht="14.25" customHeight="1">
      <c r="B127" s="75"/>
      <c r="C127" s="2"/>
      <c r="D127" s="2"/>
      <c r="E127" s="2"/>
      <c r="F127" s="2"/>
      <c r="G127" s="2"/>
      <c r="H127" s="2"/>
      <c r="I127" s="2"/>
      <c r="J127" s="2"/>
      <c r="K127" s="2"/>
      <c r="L127" s="2"/>
      <c r="M127" s="2"/>
      <c r="N127" s="2"/>
      <c r="O127" s="2"/>
      <c r="P127" s="2"/>
      <c r="Q127" s="2"/>
      <c r="R127" s="2"/>
      <c r="S127" s="2"/>
      <c r="T127" s="2"/>
      <c r="U127" s="2"/>
      <c r="V127" s="2"/>
      <c r="W127" s="2"/>
      <c r="X127" s="2"/>
      <c r="Y127" s="2"/>
      <c r="Z127" s="2"/>
      <c r="AA127" s="2"/>
    </row>
    <row r="128" spans="2:27" ht="14.25" customHeight="1">
      <c r="B128" s="75"/>
      <c r="C128" s="2"/>
      <c r="D128" s="2"/>
      <c r="E128" s="2"/>
      <c r="F128" s="2"/>
      <c r="G128" s="2"/>
      <c r="H128" s="2"/>
      <c r="I128" s="2"/>
      <c r="J128" s="2"/>
      <c r="K128" s="2"/>
      <c r="L128" s="2"/>
      <c r="M128" s="2"/>
      <c r="N128" s="2"/>
      <c r="O128" s="2"/>
      <c r="P128" s="2"/>
      <c r="Q128" s="2"/>
      <c r="R128" s="2"/>
      <c r="S128" s="2"/>
      <c r="T128" s="2"/>
      <c r="U128" s="2"/>
      <c r="V128" s="2"/>
      <c r="W128" s="2"/>
      <c r="X128" s="2"/>
      <c r="Y128" s="2"/>
      <c r="Z128" s="2"/>
      <c r="AA128" s="2"/>
    </row>
    <row r="129" spans="2:27" ht="14.25" customHeight="1">
      <c r="B129" s="75"/>
      <c r="C129" s="2"/>
      <c r="D129" s="2"/>
      <c r="E129" s="2"/>
      <c r="F129" s="2"/>
      <c r="G129" s="2"/>
      <c r="H129" s="2"/>
      <c r="I129" s="2"/>
      <c r="J129" s="2"/>
      <c r="K129" s="2"/>
      <c r="L129" s="2"/>
      <c r="M129" s="2"/>
      <c r="N129" s="2"/>
      <c r="O129" s="2"/>
      <c r="P129" s="2"/>
      <c r="Q129" s="2"/>
      <c r="R129" s="2"/>
      <c r="S129" s="2"/>
      <c r="T129" s="2"/>
      <c r="U129" s="2"/>
      <c r="V129" s="2"/>
      <c r="W129" s="2"/>
      <c r="X129" s="2"/>
      <c r="Y129" s="2"/>
      <c r="Z129" s="2"/>
      <c r="AA129" s="2"/>
    </row>
    <row r="130" spans="2:27" ht="14.25" customHeight="1">
      <c r="B130" s="75"/>
      <c r="C130" s="2"/>
      <c r="D130" s="2"/>
      <c r="E130" s="2"/>
      <c r="F130" s="2"/>
      <c r="G130" s="2"/>
      <c r="H130" s="2"/>
      <c r="I130" s="2"/>
      <c r="J130" s="2"/>
      <c r="K130" s="2"/>
      <c r="L130" s="2"/>
      <c r="M130" s="2"/>
      <c r="N130" s="2"/>
      <c r="O130" s="2"/>
      <c r="P130" s="2"/>
      <c r="Q130" s="2"/>
      <c r="R130" s="2"/>
      <c r="S130" s="2"/>
      <c r="T130" s="2"/>
      <c r="U130" s="2"/>
      <c r="V130" s="2"/>
      <c r="W130" s="2"/>
      <c r="X130" s="2"/>
      <c r="Y130" s="2"/>
      <c r="Z130" s="2"/>
      <c r="AA130" s="2"/>
    </row>
    <row r="131" spans="2:27" ht="14.25" customHeight="1">
      <c r="B131" s="75"/>
      <c r="C131" s="2"/>
      <c r="D131" s="2"/>
      <c r="E131" s="2"/>
      <c r="F131" s="2"/>
      <c r="G131" s="2"/>
      <c r="H131" s="2"/>
      <c r="I131" s="2"/>
      <c r="J131" s="2"/>
      <c r="K131" s="2"/>
      <c r="L131" s="2"/>
      <c r="M131" s="2"/>
      <c r="N131" s="2"/>
      <c r="O131" s="2"/>
      <c r="P131" s="2"/>
      <c r="Q131" s="2"/>
      <c r="R131" s="2"/>
      <c r="S131" s="2"/>
      <c r="T131" s="2"/>
      <c r="U131" s="2"/>
      <c r="V131" s="2"/>
      <c r="W131" s="2"/>
      <c r="X131" s="2"/>
      <c r="Y131" s="2"/>
      <c r="Z131" s="2"/>
      <c r="AA131" s="2"/>
    </row>
    <row r="132" spans="2:27" ht="14.25" customHeight="1">
      <c r="B132" s="75"/>
      <c r="C132" s="2"/>
      <c r="D132" s="2"/>
      <c r="E132" s="2"/>
      <c r="F132" s="2"/>
      <c r="G132" s="2"/>
      <c r="H132" s="2"/>
      <c r="I132" s="2"/>
      <c r="J132" s="2"/>
      <c r="K132" s="2"/>
      <c r="L132" s="2"/>
      <c r="M132" s="2"/>
      <c r="N132" s="2"/>
      <c r="O132" s="2"/>
      <c r="P132" s="2"/>
      <c r="Q132" s="2"/>
      <c r="R132" s="2"/>
      <c r="S132" s="2"/>
      <c r="T132" s="2"/>
      <c r="U132" s="2"/>
      <c r="V132" s="2"/>
      <c r="W132" s="2"/>
      <c r="X132" s="2"/>
      <c r="Y132" s="2"/>
      <c r="Z132" s="2"/>
      <c r="AA132" s="2"/>
    </row>
    <row r="133" spans="2:27" ht="14.25" customHeight="1">
      <c r="B133" s="75"/>
      <c r="C133" s="2"/>
      <c r="D133" s="2"/>
      <c r="E133" s="2"/>
      <c r="F133" s="2"/>
      <c r="G133" s="2"/>
      <c r="H133" s="2"/>
      <c r="I133" s="2"/>
      <c r="J133" s="2"/>
      <c r="K133" s="2"/>
      <c r="L133" s="2"/>
      <c r="M133" s="2"/>
      <c r="N133" s="2"/>
      <c r="O133" s="2"/>
      <c r="P133" s="2"/>
      <c r="Q133" s="2"/>
      <c r="R133" s="2"/>
      <c r="S133" s="2"/>
      <c r="T133" s="2"/>
      <c r="U133" s="2"/>
      <c r="V133" s="2"/>
      <c r="W133" s="2"/>
      <c r="X133" s="2"/>
      <c r="Y133" s="2"/>
      <c r="Z133" s="2"/>
      <c r="AA133" s="2"/>
    </row>
    <row r="134" spans="2:27" ht="14.25" customHeight="1">
      <c r="B134" s="75"/>
      <c r="C134" s="2"/>
      <c r="D134" s="2"/>
      <c r="E134" s="2"/>
      <c r="F134" s="2"/>
      <c r="G134" s="2"/>
      <c r="H134" s="2"/>
      <c r="I134" s="2"/>
      <c r="J134" s="2"/>
      <c r="K134" s="2"/>
      <c r="L134" s="2"/>
      <c r="M134" s="2"/>
      <c r="N134" s="2"/>
      <c r="O134" s="2"/>
      <c r="P134" s="2"/>
      <c r="Q134" s="2"/>
      <c r="R134" s="2"/>
      <c r="S134" s="2"/>
      <c r="T134" s="2"/>
      <c r="U134" s="2"/>
      <c r="V134" s="2"/>
      <c r="W134" s="2"/>
      <c r="X134" s="2"/>
      <c r="Y134" s="2"/>
      <c r="Z134" s="2"/>
      <c r="AA134" s="2"/>
    </row>
    <row r="135" spans="2:27" ht="14.25" customHeight="1">
      <c r="B135" s="75"/>
      <c r="C135" s="2"/>
      <c r="D135" s="2"/>
      <c r="E135" s="2"/>
      <c r="F135" s="2"/>
      <c r="G135" s="2"/>
      <c r="H135" s="2"/>
      <c r="I135" s="2"/>
      <c r="J135" s="2"/>
      <c r="K135" s="2"/>
      <c r="L135" s="2"/>
      <c r="M135" s="2"/>
      <c r="N135" s="2"/>
      <c r="O135" s="2"/>
      <c r="P135" s="2"/>
      <c r="Q135" s="2"/>
      <c r="R135" s="2"/>
      <c r="S135" s="2"/>
      <c r="T135" s="2"/>
      <c r="U135" s="2"/>
      <c r="V135" s="2"/>
      <c r="W135" s="2"/>
      <c r="X135" s="2"/>
      <c r="Y135" s="2"/>
      <c r="Z135" s="2"/>
      <c r="AA135" s="2"/>
    </row>
    <row r="136" spans="2:27" ht="14.25" customHeight="1">
      <c r="B136" s="75"/>
      <c r="C136" s="2"/>
      <c r="D136" s="2"/>
      <c r="E136" s="2"/>
      <c r="F136" s="2"/>
      <c r="G136" s="2"/>
      <c r="H136" s="2"/>
      <c r="I136" s="2"/>
      <c r="J136" s="2"/>
      <c r="K136" s="2"/>
      <c r="L136" s="2"/>
      <c r="M136" s="2"/>
      <c r="N136" s="2"/>
      <c r="O136" s="2"/>
      <c r="P136" s="2"/>
      <c r="Q136" s="2"/>
      <c r="R136" s="2"/>
      <c r="S136" s="2"/>
      <c r="T136" s="2"/>
      <c r="U136" s="2"/>
      <c r="V136" s="2"/>
      <c r="W136" s="2"/>
      <c r="X136" s="2"/>
      <c r="Y136" s="2"/>
      <c r="Z136" s="2"/>
      <c r="AA136" s="2"/>
    </row>
    <row r="137" spans="2:27" ht="14.25" customHeight="1">
      <c r="B137" s="75"/>
      <c r="C137" s="2"/>
      <c r="D137" s="2"/>
      <c r="E137" s="2"/>
      <c r="F137" s="2"/>
      <c r="G137" s="2"/>
      <c r="H137" s="2"/>
      <c r="I137" s="2"/>
      <c r="J137" s="2"/>
      <c r="K137" s="2"/>
      <c r="L137" s="2"/>
      <c r="M137" s="2"/>
      <c r="N137" s="2"/>
      <c r="O137" s="2"/>
      <c r="P137" s="2"/>
      <c r="Q137" s="2"/>
      <c r="R137" s="2"/>
      <c r="S137" s="2"/>
      <c r="T137" s="2"/>
      <c r="U137" s="2"/>
      <c r="V137" s="2"/>
      <c r="W137" s="2"/>
      <c r="X137" s="2"/>
      <c r="Y137" s="2"/>
      <c r="Z137" s="2"/>
      <c r="AA137" s="2"/>
    </row>
    <row r="138" spans="2:27" ht="14.25" customHeight="1">
      <c r="B138" s="75"/>
      <c r="C138" s="2"/>
      <c r="D138" s="2"/>
      <c r="E138" s="2"/>
      <c r="F138" s="2"/>
      <c r="G138" s="2"/>
      <c r="H138" s="2"/>
      <c r="I138" s="2"/>
      <c r="J138" s="2"/>
      <c r="K138" s="2"/>
      <c r="L138" s="2"/>
      <c r="M138" s="2"/>
      <c r="N138" s="2"/>
      <c r="O138" s="2"/>
      <c r="P138" s="2"/>
      <c r="Q138" s="2"/>
      <c r="R138" s="2"/>
      <c r="S138" s="2"/>
      <c r="T138" s="2"/>
      <c r="U138" s="2"/>
      <c r="V138" s="2"/>
      <c r="W138" s="2"/>
      <c r="X138" s="2"/>
      <c r="Y138" s="2"/>
      <c r="Z138" s="2"/>
      <c r="AA138" s="2"/>
    </row>
    <row r="139" spans="2:27" ht="14.25" customHeight="1">
      <c r="B139" s="75"/>
      <c r="C139" s="2"/>
      <c r="D139" s="2"/>
      <c r="E139" s="2"/>
      <c r="F139" s="2"/>
      <c r="G139" s="2"/>
      <c r="H139" s="2"/>
      <c r="I139" s="2"/>
      <c r="J139" s="2"/>
      <c r="K139" s="2"/>
      <c r="L139" s="2"/>
      <c r="M139" s="2"/>
      <c r="N139" s="2"/>
      <c r="O139" s="2"/>
      <c r="P139" s="2"/>
      <c r="Q139" s="2"/>
      <c r="R139" s="2"/>
      <c r="S139" s="2"/>
      <c r="T139" s="2"/>
      <c r="U139" s="2"/>
      <c r="V139" s="2"/>
      <c r="W139" s="2"/>
      <c r="X139" s="2"/>
      <c r="Y139" s="2"/>
      <c r="Z139" s="2"/>
      <c r="AA139" s="2"/>
    </row>
    <row r="140" spans="2:27" ht="14.25" customHeight="1">
      <c r="B140" s="75"/>
      <c r="C140" s="2"/>
      <c r="D140" s="2"/>
      <c r="E140" s="2"/>
      <c r="F140" s="2"/>
      <c r="G140" s="2"/>
      <c r="H140" s="2"/>
      <c r="I140" s="2"/>
      <c r="J140" s="2"/>
      <c r="K140" s="2"/>
      <c r="L140" s="2"/>
      <c r="M140" s="2"/>
      <c r="N140" s="2"/>
      <c r="O140" s="2"/>
      <c r="P140" s="2"/>
      <c r="Q140" s="2"/>
      <c r="R140" s="2"/>
      <c r="S140" s="2"/>
      <c r="T140" s="2"/>
      <c r="U140" s="2"/>
      <c r="V140" s="2"/>
      <c r="W140" s="2"/>
      <c r="X140" s="2"/>
      <c r="Y140" s="2"/>
      <c r="Z140" s="2"/>
      <c r="AA140" s="2"/>
    </row>
    <row r="141" spans="2:27" ht="14.25" customHeight="1">
      <c r="B141" s="75"/>
      <c r="C141" s="2"/>
      <c r="D141" s="2"/>
      <c r="E141" s="2"/>
      <c r="F141" s="2"/>
      <c r="G141" s="2"/>
      <c r="H141" s="2"/>
      <c r="I141" s="2"/>
      <c r="J141" s="2"/>
      <c r="K141" s="2"/>
      <c r="L141" s="2"/>
      <c r="M141" s="2"/>
      <c r="N141" s="2"/>
      <c r="O141" s="2"/>
      <c r="P141" s="2"/>
      <c r="Q141" s="2"/>
      <c r="R141" s="2"/>
      <c r="S141" s="2"/>
      <c r="T141" s="2"/>
      <c r="U141" s="2"/>
      <c r="V141" s="2"/>
      <c r="W141" s="2"/>
      <c r="X141" s="2"/>
      <c r="Y141" s="2"/>
      <c r="Z141" s="2"/>
      <c r="AA141" s="2"/>
    </row>
    <row r="142" spans="2:27" ht="14.25" customHeight="1">
      <c r="B142" s="75"/>
      <c r="C142" s="2"/>
      <c r="D142" s="2"/>
      <c r="E142" s="2"/>
      <c r="F142" s="2"/>
      <c r="G142" s="2"/>
      <c r="H142" s="2"/>
      <c r="I142" s="2"/>
      <c r="J142" s="2"/>
      <c r="K142" s="2"/>
      <c r="L142" s="2"/>
      <c r="M142" s="2"/>
      <c r="N142" s="2"/>
      <c r="O142" s="2"/>
      <c r="P142" s="2"/>
      <c r="Q142" s="2"/>
      <c r="R142" s="2"/>
      <c r="S142" s="2"/>
      <c r="T142" s="2"/>
      <c r="U142" s="2"/>
      <c r="V142" s="2"/>
      <c r="W142" s="2"/>
      <c r="X142" s="2"/>
      <c r="Y142" s="2"/>
      <c r="Z142" s="2"/>
      <c r="AA142" s="2"/>
    </row>
    <row r="143" spans="2:27" ht="14.25" customHeight="1">
      <c r="B143" s="75"/>
      <c r="C143" s="2"/>
      <c r="D143" s="2"/>
      <c r="E143" s="2"/>
      <c r="F143" s="2"/>
      <c r="G143" s="2"/>
      <c r="H143" s="2"/>
      <c r="I143" s="2"/>
      <c r="J143" s="2"/>
      <c r="K143" s="2"/>
      <c r="L143" s="2"/>
      <c r="M143" s="2"/>
      <c r="N143" s="2"/>
      <c r="O143" s="2"/>
      <c r="P143" s="2"/>
      <c r="Q143" s="2"/>
      <c r="R143" s="2"/>
      <c r="S143" s="2"/>
      <c r="T143" s="2"/>
      <c r="U143" s="2"/>
      <c r="V143" s="2"/>
      <c r="W143" s="2"/>
      <c r="X143" s="2"/>
      <c r="Y143" s="2"/>
      <c r="Z143" s="2"/>
      <c r="AA143" s="2"/>
    </row>
    <row r="144" spans="2:27" ht="14.25" customHeight="1">
      <c r="B144" s="75"/>
      <c r="C144" s="2"/>
      <c r="D144" s="2"/>
      <c r="E144" s="2"/>
      <c r="F144" s="2"/>
      <c r="G144" s="2"/>
      <c r="H144" s="2"/>
      <c r="I144" s="2"/>
      <c r="J144" s="2"/>
      <c r="K144" s="2"/>
      <c r="L144" s="2"/>
      <c r="M144" s="2"/>
      <c r="N144" s="2"/>
      <c r="O144" s="2"/>
      <c r="P144" s="2"/>
      <c r="Q144" s="2"/>
      <c r="R144" s="2"/>
      <c r="S144" s="2"/>
      <c r="T144" s="2"/>
      <c r="U144" s="2"/>
      <c r="V144" s="2"/>
      <c r="W144" s="2"/>
      <c r="X144" s="2"/>
      <c r="Y144" s="2"/>
      <c r="Z144" s="2"/>
      <c r="AA144" s="2"/>
    </row>
    <row r="145" spans="2:27" ht="14.25" customHeight="1">
      <c r="B145" s="75"/>
      <c r="C145" s="2"/>
      <c r="D145" s="2"/>
      <c r="E145" s="2"/>
      <c r="F145" s="2"/>
      <c r="G145" s="2"/>
      <c r="H145" s="2"/>
      <c r="I145" s="2"/>
      <c r="J145" s="2"/>
      <c r="K145" s="2"/>
      <c r="L145" s="2"/>
      <c r="M145" s="2"/>
      <c r="N145" s="2"/>
      <c r="O145" s="2"/>
      <c r="P145" s="2"/>
      <c r="Q145" s="2"/>
      <c r="R145" s="2"/>
      <c r="S145" s="2"/>
      <c r="T145" s="2"/>
      <c r="U145" s="2"/>
      <c r="V145" s="2"/>
      <c r="W145" s="2"/>
      <c r="X145" s="2"/>
      <c r="Y145" s="2"/>
      <c r="Z145" s="2"/>
      <c r="AA145" s="2"/>
    </row>
    <row r="146" spans="2:27" ht="14.25" customHeight="1">
      <c r="B146" s="75"/>
      <c r="C146" s="2"/>
      <c r="D146" s="2"/>
      <c r="E146" s="2"/>
      <c r="F146" s="2"/>
      <c r="G146" s="2"/>
      <c r="H146" s="2"/>
      <c r="I146" s="2"/>
      <c r="J146" s="2"/>
      <c r="K146" s="2"/>
      <c r="L146" s="2"/>
      <c r="M146" s="2"/>
      <c r="N146" s="2"/>
      <c r="O146" s="2"/>
      <c r="P146" s="2"/>
      <c r="Q146" s="2"/>
      <c r="R146" s="2"/>
      <c r="S146" s="2"/>
      <c r="T146" s="2"/>
      <c r="U146" s="2"/>
      <c r="V146" s="2"/>
      <c r="W146" s="2"/>
      <c r="X146" s="2"/>
      <c r="Y146" s="2"/>
      <c r="Z146" s="2"/>
      <c r="AA146" s="2"/>
    </row>
    <row r="147" spans="2:27" ht="14.25" customHeight="1">
      <c r="B147" s="75"/>
      <c r="C147" s="2"/>
      <c r="D147" s="2"/>
      <c r="E147" s="2"/>
      <c r="F147" s="2"/>
      <c r="G147" s="2"/>
      <c r="H147" s="2"/>
      <c r="I147" s="2"/>
      <c r="J147" s="2"/>
      <c r="K147" s="2"/>
      <c r="L147" s="2"/>
      <c r="M147" s="2"/>
      <c r="N147" s="2"/>
      <c r="O147" s="2"/>
      <c r="P147" s="2"/>
      <c r="Q147" s="2"/>
      <c r="R147" s="2"/>
      <c r="S147" s="2"/>
      <c r="T147" s="2"/>
      <c r="U147" s="2"/>
      <c r="V147" s="2"/>
      <c r="W147" s="2"/>
      <c r="X147" s="2"/>
      <c r="Y147" s="2"/>
      <c r="Z147" s="2"/>
      <c r="AA147" s="2"/>
    </row>
    <row r="148" spans="2:27" ht="14.25" customHeight="1">
      <c r="B148" s="75"/>
      <c r="C148" s="2"/>
      <c r="D148" s="2"/>
      <c r="E148" s="2"/>
      <c r="F148" s="2"/>
      <c r="G148" s="2"/>
      <c r="H148" s="2"/>
      <c r="I148" s="2"/>
      <c r="J148" s="2"/>
      <c r="K148" s="2"/>
      <c r="L148" s="2"/>
      <c r="M148" s="2"/>
      <c r="N148" s="2"/>
      <c r="O148" s="2"/>
      <c r="P148" s="2"/>
      <c r="Q148" s="2"/>
      <c r="R148" s="2"/>
      <c r="S148" s="2"/>
      <c r="T148" s="2"/>
      <c r="U148" s="2"/>
      <c r="V148" s="2"/>
      <c r="W148" s="2"/>
      <c r="X148" s="2"/>
      <c r="Y148" s="2"/>
      <c r="Z148" s="2"/>
      <c r="AA148" s="2"/>
    </row>
    <row r="149" spans="2:27" ht="14.25" customHeight="1">
      <c r="B149" s="75"/>
      <c r="C149" s="2"/>
      <c r="D149" s="2"/>
      <c r="E149" s="2"/>
      <c r="F149" s="2"/>
      <c r="G149" s="2"/>
      <c r="H149" s="2"/>
      <c r="I149" s="2"/>
      <c r="J149" s="2"/>
      <c r="K149" s="2"/>
      <c r="L149" s="2"/>
      <c r="M149" s="2"/>
      <c r="N149" s="2"/>
      <c r="O149" s="2"/>
      <c r="P149" s="2"/>
      <c r="Q149" s="2"/>
      <c r="R149" s="2"/>
      <c r="S149" s="2"/>
      <c r="T149" s="2"/>
      <c r="U149" s="2"/>
      <c r="V149" s="2"/>
      <c r="W149" s="2"/>
      <c r="X149" s="2"/>
      <c r="Y149" s="2"/>
      <c r="Z149" s="2"/>
      <c r="AA149" s="2"/>
    </row>
    <row r="150" spans="2:27" ht="14.25" customHeight="1">
      <c r="B150" s="75"/>
      <c r="C150" s="2"/>
      <c r="D150" s="2"/>
      <c r="E150" s="2"/>
      <c r="F150" s="2"/>
      <c r="G150" s="2"/>
      <c r="H150" s="2"/>
      <c r="I150" s="2"/>
      <c r="J150" s="2"/>
      <c r="K150" s="2"/>
      <c r="L150" s="2"/>
      <c r="M150" s="2"/>
      <c r="N150" s="2"/>
      <c r="O150" s="2"/>
      <c r="P150" s="2"/>
      <c r="Q150" s="2"/>
      <c r="R150" s="2"/>
      <c r="S150" s="2"/>
      <c r="T150" s="2"/>
      <c r="U150" s="2"/>
      <c r="V150" s="2"/>
      <c r="W150" s="2"/>
      <c r="X150" s="2"/>
      <c r="Y150" s="2"/>
      <c r="Z150" s="2"/>
      <c r="AA150" s="2"/>
    </row>
    <row r="151" spans="2:27" ht="14.25" customHeight="1">
      <c r="B151" s="75"/>
      <c r="C151" s="2"/>
      <c r="D151" s="2"/>
      <c r="E151" s="2"/>
      <c r="F151" s="2"/>
      <c r="G151" s="2"/>
      <c r="H151" s="2"/>
      <c r="I151" s="2"/>
      <c r="J151" s="2"/>
      <c r="K151" s="2"/>
      <c r="L151" s="2"/>
      <c r="M151" s="2"/>
      <c r="N151" s="2"/>
      <c r="O151" s="2"/>
      <c r="P151" s="2"/>
      <c r="Q151" s="2"/>
      <c r="R151" s="2"/>
      <c r="S151" s="2"/>
      <c r="T151" s="2"/>
      <c r="U151" s="2"/>
      <c r="V151" s="2"/>
      <c r="W151" s="2"/>
      <c r="X151" s="2"/>
      <c r="Y151" s="2"/>
      <c r="Z151" s="2"/>
      <c r="AA151" s="2"/>
    </row>
    <row r="152" spans="2:27" ht="14.25" customHeight="1">
      <c r="B152" s="75"/>
      <c r="C152" s="2"/>
      <c r="D152" s="2"/>
      <c r="E152" s="2"/>
      <c r="F152" s="2"/>
      <c r="G152" s="2"/>
      <c r="H152" s="2"/>
      <c r="I152" s="2"/>
      <c r="J152" s="2"/>
      <c r="K152" s="2"/>
      <c r="L152" s="2"/>
      <c r="M152" s="2"/>
      <c r="N152" s="2"/>
      <c r="O152" s="2"/>
      <c r="P152" s="2"/>
      <c r="Q152" s="2"/>
      <c r="R152" s="2"/>
      <c r="S152" s="2"/>
      <c r="T152" s="2"/>
      <c r="U152" s="2"/>
      <c r="V152" s="2"/>
      <c r="W152" s="2"/>
      <c r="X152" s="2"/>
      <c r="Y152" s="2"/>
      <c r="Z152" s="2"/>
      <c r="AA152" s="2"/>
    </row>
    <row r="153" spans="2:27" ht="14.25" customHeight="1">
      <c r="B153" s="75"/>
      <c r="C153" s="2"/>
      <c r="D153" s="2"/>
      <c r="E153" s="2"/>
      <c r="F153" s="2"/>
      <c r="G153" s="2"/>
      <c r="H153" s="2"/>
      <c r="I153" s="2"/>
      <c r="J153" s="2"/>
      <c r="K153" s="2"/>
      <c r="L153" s="2"/>
      <c r="M153" s="2"/>
      <c r="N153" s="2"/>
      <c r="O153" s="2"/>
      <c r="P153" s="2"/>
      <c r="Q153" s="2"/>
      <c r="R153" s="2"/>
      <c r="S153" s="2"/>
      <c r="T153" s="2"/>
      <c r="U153" s="2"/>
      <c r="V153" s="2"/>
      <c r="W153" s="2"/>
      <c r="X153" s="2"/>
      <c r="Y153" s="2"/>
      <c r="Z153" s="2"/>
      <c r="AA153" s="2"/>
    </row>
    <row r="154" spans="2:27" ht="14.25" customHeight="1">
      <c r="B154" s="75"/>
      <c r="C154" s="2"/>
      <c r="D154" s="2"/>
      <c r="E154" s="2"/>
      <c r="F154" s="2"/>
      <c r="G154" s="2"/>
      <c r="H154" s="2"/>
      <c r="I154" s="2"/>
      <c r="J154" s="2"/>
      <c r="K154" s="2"/>
      <c r="L154" s="2"/>
      <c r="M154" s="2"/>
      <c r="N154" s="2"/>
      <c r="O154" s="2"/>
      <c r="P154" s="2"/>
      <c r="Q154" s="2"/>
      <c r="R154" s="2"/>
      <c r="S154" s="2"/>
      <c r="T154" s="2"/>
      <c r="U154" s="2"/>
      <c r="V154" s="2"/>
      <c r="W154" s="2"/>
      <c r="X154" s="2"/>
      <c r="Y154" s="2"/>
      <c r="Z154" s="2"/>
      <c r="AA154" s="2"/>
    </row>
    <row r="155" spans="2:27" ht="14.25" customHeight="1">
      <c r="B155" s="75"/>
      <c r="C155" s="2"/>
      <c r="D155" s="2"/>
      <c r="E155" s="2"/>
      <c r="F155" s="2"/>
      <c r="G155" s="2"/>
      <c r="H155" s="2"/>
      <c r="I155" s="2"/>
      <c r="J155" s="2"/>
      <c r="K155" s="2"/>
      <c r="L155" s="2"/>
      <c r="M155" s="2"/>
      <c r="N155" s="2"/>
      <c r="O155" s="2"/>
      <c r="P155" s="2"/>
      <c r="Q155" s="2"/>
      <c r="R155" s="2"/>
      <c r="S155" s="2"/>
      <c r="T155" s="2"/>
      <c r="U155" s="2"/>
      <c r="V155" s="2"/>
      <c r="W155" s="2"/>
      <c r="X155" s="2"/>
      <c r="Y155" s="2"/>
      <c r="Z155" s="2"/>
      <c r="AA155" s="2"/>
    </row>
    <row r="156" spans="2:27" ht="14.25" customHeight="1">
      <c r="B156" s="75"/>
      <c r="C156" s="2"/>
      <c r="D156" s="2"/>
      <c r="E156" s="2"/>
      <c r="F156" s="2"/>
      <c r="G156" s="2"/>
      <c r="H156" s="2"/>
      <c r="I156" s="2"/>
      <c r="J156" s="2"/>
      <c r="K156" s="2"/>
      <c r="L156" s="2"/>
      <c r="M156" s="2"/>
      <c r="N156" s="2"/>
      <c r="O156" s="2"/>
      <c r="P156" s="2"/>
      <c r="Q156" s="2"/>
      <c r="R156" s="2"/>
      <c r="S156" s="2"/>
      <c r="T156" s="2"/>
      <c r="U156" s="2"/>
      <c r="V156" s="2"/>
      <c r="W156" s="2"/>
      <c r="X156" s="2"/>
      <c r="Y156" s="2"/>
      <c r="Z156" s="2"/>
      <c r="AA156" s="2"/>
    </row>
    <row r="157" spans="2:27" ht="14.25" customHeight="1">
      <c r="B157" s="75"/>
      <c r="C157" s="2"/>
      <c r="D157" s="2"/>
      <c r="E157" s="2"/>
      <c r="F157" s="2"/>
      <c r="G157" s="2"/>
      <c r="H157" s="2"/>
      <c r="I157" s="2"/>
      <c r="J157" s="2"/>
      <c r="K157" s="2"/>
      <c r="L157" s="2"/>
      <c r="M157" s="2"/>
      <c r="N157" s="2"/>
      <c r="O157" s="2"/>
      <c r="P157" s="2"/>
      <c r="Q157" s="2"/>
      <c r="R157" s="2"/>
      <c r="S157" s="2"/>
      <c r="T157" s="2"/>
      <c r="U157" s="2"/>
      <c r="V157" s="2"/>
      <c r="W157" s="2"/>
      <c r="X157" s="2"/>
      <c r="Y157" s="2"/>
      <c r="Z157" s="2"/>
      <c r="AA157" s="2"/>
    </row>
    <row r="158" spans="2:27" ht="14.25" customHeight="1">
      <c r="B158" s="75"/>
      <c r="C158" s="2"/>
      <c r="D158" s="2"/>
      <c r="E158" s="2"/>
      <c r="F158" s="2"/>
      <c r="G158" s="2"/>
      <c r="H158" s="2"/>
      <c r="I158" s="2"/>
      <c r="J158" s="2"/>
      <c r="K158" s="2"/>
      <c r="L158" s="2"/>
      <c r="M158" s="2"/>
      <c r="N158" s="2"/>
      <c r="O158" s="2"/>
      <c r="P158" s="2"/>
      <c r="Q158" s="2"/>
      <c r="R158" s="2"/>
      <c r="S158" s="2"/>
      <c r="T158" s="2"/>
      <c r="U158" s="2"/>
      <c r="V158" s="2"/>
      <c r="W158" s="2"/>
      <c r="X158" s="2"/>
      <c r="Y158" s="2"/>
      <c r="Z158" s="2"/>
      <c r="AA158" s="2"/>
    </row>
    <row r="159" spans="2:27" ht="14.25" customHeight="1">
      <c r="B159" s="75"/>
      <c r="C159" s="2"/>
      <c r="D159" s="2"/>
      <c r="E159" s="2"/>
      <c r="F159" s="2"/>
      <c r="G159" s="2"/>
      <c r="H159" s="2"/>
      <c r="I159" s="2"/>
      <c r="J159" s="2"/>
      <c r="K159" s="2"/>
      <c r="L159" s="2"/>
      <c r="M159" s="2"/>
      <c r="N159" s="2"/>
      <c r="O159" s="2"/>
      <c r="P159" s="2"/>
      <c r="Q159" s="2"/>
      <c r="R159" s="2"/>
      <c r="S159" s="2"/>
      <c r="T159" s="2"/>
      <c r="U159" s="2"/>
      <c r="V159" s="2"/>
      <c r="W159" s="2"/>
      <c r="X159" s="2"/>
      <c r="Y159" s="2"/>
      <c r="Z159" s="2"/>
      <c r="AA159" s="2"/>
    </row>
    <row r="160" spans="2:27" ht="14.25" customHeight="1">
      <c r="B160" s="75"/>
      <c r="C160" s="2"/>
      <c r="D160" s="2"/>
      <c r="E160" s="2"/>
      <c r="F160" s="2"/>
      <c r="G160" s="2"/>
      <c r="H160" s="2"/>
      <c r="I160" s="2"/>
      <c r="J160" s="2"/>
      <c r="K160" s="2"/>
      <c r="L160" s="2"/>
      <c r="M160" s="2"/>
      <c r="N160" s="2"/>
      <c r="O160" s="2"/>
      <c r="P160" s="2"/>
      <c r="Q160" s="2"/>
      <c r="R160" s="2"/>
      <c r="S160" s="2"/>
      <c r="T160" s="2"/>
      <c r="U160" s="2"/>
      <c r="V160" s="2"/>
      <c r="W160" s="2"/>
      <c r="X160" s="2"/>
      <c r="Y160" s="2"/>
      <c r="Z160" s="2"/>
      <c r="AA160" s="2"/>
    </row>
    <row r="161" spans="2:27" ht="14.25" customHeight="1">
      <c r="B161" s="75"/>
      <c r="C161" s="2"/>
      <c r="D161" s="2"/>
      <c r="E161" s="2"/>
      <c r="F161" s="2"/>
      <c r="G161" s="2"/>
      <c r="H161" s="2"/>
      <c r="I161" s="2"/>
      <c r="J161" s="2"/>
      <c r="K161" s="2"/>
      <c r="L161" s="2"/>
      <c r="M161" s="2"/>
      <c r="N161" s="2"/>
      <c r="O161" s="2"/>
      <c r="P161" s="2"/>
      <c r="Q161" s="2"/>
      <c r="R161" s="2"/>
      <c r="S161" s="2"/>
      <c r="T161" s="2"/>
      <c r="U161" s="2"/>
      <c r="V161" s="2"/>
      <c r="W161" s="2"/>
      <c r="X161" s="2"/>
      <c r="Y161" s="2"/>
      <c r="Z161" s="2"/>
      <c r="AA161" s="2"/>
    </row>
    <row r="162" spans="2:27" ht="14.25" customHeight="1">
      <c r="B162" s="75"/>
      <c r="C162" s="2"/>
      <c r="D162" s="2"/>
      <c r="E162" s="2"/>
      <c r="F162" s="2"/>
      <c r="G162" s="2"/>
      <c r="H162" s="2"/>
      <c r="I162" s="2"/>
      <c r="J162" s="2"/>
      <c r="K162" s="2"/>
      <c r="L162" s="2"/>
      <c r="M162" s="2"/>
      <c r="N162" s="2"/>
      <c r="O162" s="2"/>
      <c r="P162" s="2"/>
      <c r="Q162" s="2"/>
      <c r="R162" s="2"/>
      <c r="S162" s="2"/>
      <c r="T162" s="2"/>
      <c r="U162" s="2"/>
      <c r="V162" s="2"/>
      <c r="W162" s="2"/>
      <c r="X162" s="2"/>
      <c r="Y162" s="2"/>
      <c r="Z162" s="2"/>
      <c r="AA162" s="2"/>
    </row>
    <row r="163" spans="2:27" ht="14.25" customHeight="1"/>
    <row r="164" spans="2:27" ht="14.25" customHeight="1"/>
    <row r="165" spans="2:27" ht="14.25" customHeight="1"/>
    <row r="166" spans="2:27" ht="14.25" customHeight="1"/>
    <row r="167" spans="2:27" ht="14.25" customHeight="1"/>
    <row r="168" spans="2:27" ht="14.25" customHeight="1"/>
    <row r="169" spans="2:27" ht="14.25" customHeight="1"/>
    <row r="170" spans="2:27" ht="14.25" customHeight="1"/>
    <row r="171" spans="2:27" ht="14.25" customHeight="1"/>
    <row r="172" spans="2:27" ht="14.25" customHeight="1"/>
    <row r="173" spans="2:27" ht="14.25" customHeight="1"/>
    <row r="174" spans="2:27" ht="14.25" customHeight="1"/>
    <row r="175" spans="2:27" ht="14.25" customHeight="1"/>
    <row r="176" spans="2:27"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sheetData>
  <sheetProtection algorithmName="SHA-512" hashValue="6L+IDWSJtcdHkqMDUi3EXpnO0/zU51C+UnikFagA3PotpZsVqEIMGY4kvTD+BD3VSkP8osHmaFOAvup4gSB4XQ==" saltValue="W/7BPEAbWIviAGRRJV04ow==" spinCount="100000" sheet="1" objects="1" scenarios="1" selectLockedCells="1" selectUnlockedCells="1"/>
  <mergeCells count="7">
    <mergeCell ref="M21:O22"/>
    <mergeCell ref="I21:K22"/>
    <mergeCell ref="D21:E22"/>
    <mergeCell ref="M23:N23"/>
    <mergeCell ref="C3:L3"/>
    <mergeCell ref="C6:E6"/>
    <mergeCell ref="I6:K6"/>
  </mergeCells>
  <pageMargins left="0.7" right="0.7" top="0.78740157499999996" bottom="0.78740157499999996" header="0" footer="0"/>
  <pageSetup paperSize="9" scale="57"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25F00-7779-477F-8CA7-06BCAB17D9F0}">
  <sheetPr codeName="Sheet7">
    <tabColor theme="4" tint="-0.499984740745262"/>
  </sheetPr>
  <dimension ref="A1:Y999"/>
  <sheetViews>
    <sheetView showGridLines="0" zoomScale="85" zoomScaleNormal="85" workbookViewId="0">
      <selection activeCell="I14" sqref="I14"/>
    </sheetView>
  </sheetViews>
  <sheetFormatPr baseColWidth="10" defaultColWidth="14.42578125" defaultRowHeight="15" customHeight="1"/>
  <cols>
    <col min="1" max="1" width="7" customWidth="1"/>
    <col min="2" max="2" width="12.140625" customWidth="1"/>
    <col min="3" max="3" width="10.7109375" customWidth="1"/>
    <col min="4" max="4" width="13.85546875" customWidth="1"/>
    <col min="5" max="5" width="12.5703125" customWidth="1"/>
    <col min="6" max="6" width="5.140625" customWidth="1"/>
    <col min="7" max="7" width="10.140625" customWidth="1"/>
    <col min="8" max="8" width="17.7109375" customWidth="1"/>
    <col min="9" max="9" width="12.140625" customWidth="1"/>
    <col min="10" max="10" width="10.7109375" customWidth="1"/>
    <col min="11" max="11" width="10" customWidth="1"/>
    <col min="12" max="25" width="10.7109375" customWidth="1"/>
  </cols>
  <sheetData>
    <row r="1" spans="1:25" ht="14.25" customHeight="1" thickBot="1">
      <c r="A1" s="92"/>
      <c r="B1" s="388" t="str">
        <f>Translation!B124</f>
        <v>Results</v>
      </c>
      <c r="C1" s="388"/>
      <c r="D1" s="388"/>
      <c r="E1" s="388"/>
      <c r="F1" s="388"/>
      <c r="G1" s="388"/>
      <c r="H1" s="388"/>
      <c r="I1" s="388"/>
      <c r="J1" s="388"/>
      <c r="K1" s="93"/>
      <c r="L1" s="76"/>
      <c r="M1" s="93"/>
      <c r="N1" s="2"/>
      <c r="O1" s="2"/>
      <c r="P1" s="2"/>
      <c r="Q1" s="2"/>
      <c r="R1" s="2"/>
      <c r="S1" s="2"/>
      <c r="T1" s="2"/>
      <c r="U1" s="2"/>
      <c r="V1" s="2"/>
      <c r="W1" s="2"/>
      <c r="X1" s="2"/>
      <c r="Y1" s="2"/>
    </row>
    <row r="2" spans="1:25" ht="14.25" customHeight="1">
      <c r="A2" s="92"/>
      <c r="B2" s="107"/>
      <c r="C2" s="108"/>
      <c r="D2" s="108"/>
      <c r="E2" s="108"/>
      <c r="F2" s="108"/>
      <c r="G2" s="108"/>
      <c r="H2" s="108"/>
      <c r="I2" s="108"/>
      <c r="J2" s="108"/>
      <c r="K2" s="108"/>
      <c r="L2" s="108"/>
      <c r="M2" s="108"/>
      <c r="N2" s="109"/>
      <c r="O2" s="109"/>
      <c r="P2" s="109"/>
      <c r="Q2" s="109"/>
      <c r="R2" s="109"/>
      <c r="S2" s="110"/>
      <c r="T2" s="2"/>
      <c r="U2" s="2"/>
      <c r="V2" s="2"/>
      <c r="W2" s="2"/>
      <c r="X2" s="2"/>
      <c r="Y2" s="2"/>
    </row>
    <row r="3" spans="1:25" ht="14.25" customHeight="1">
      <c r="A3" s="92"/>
      <c r="B3" s="111"/>
      <c r="C3" s="76"/>
      <c r="D3" s="76"/>
      <c r="E3" s="255"/>
      <c r="F3" s="76"/>
      <c r="G3" s="76"/>
      <c r="H3" s="76"/>
      <c r="I3" s="76"/>
      <c r="J3" s="76"/>
      <c r="K3" s="76"/>
      <c r="L3" s="76"/>
      <c r="M3" s="76"/>
      <c r="N3" s="75"/>
      <c r="O3" s="75"/>
      <c r="P3" s="75"/>
      <c r="Q3" s="75"/>
      <c r="R3" s="75"/>
      <c r="S3" s="112"/>
      <c r="T3" s="2"/>
      <c r="U3" s="2"/>
      <c r="V3" s="2"/>
      <c r="W3" s="2"/>
      <c r="X3" s="2"/>
      <c r="Y3" s="2"/>
    </row>
    <row r="4" spans="1:25" ht="14.25" customHeight="1">
      <c r="A4" s="92"/>
      <c r="B4" s="389" t="s">
        <v>806</v>
      </c>
      <c r="C4" s="364"/>
      <c r="D4" s="364"/>
      <c r="E4" s="208"/>
      <c r="F4" s="209"/>
      <c r="G4" s="209"/>
      <c r="H4" s="390" t="s">
        <v>541</v>
      </c>
      <c r="I4" s="364"/>
      <c r="J4" s="118"/>
      <c r="K4" s="210"/>
      <c r="L4" s="76"/>
      <c r="M4" s="76"/>
      <c r="N4" s="75"/>
      <c r="O4" s="75"/>
      <c r="P4" s="75"/>
      <c r="Q4" s="75"/>
      <c r="R4" s="75"/>
      <c r="S4" s="112"/>
      <c r="T4" s="2"/>
      <c r="U4" s="2"/>
      <c r="V4" s="2"/>
      <c r="W4" s="2"/>
      <c r="X4" s="2"/>
      <c r="Y4" s="2"/>
    </row>
    <row r="5" spans="1:25" ht="14.25" customHeight="1">
      <c r="A5" s="95"/>
      <c r="B5" s="256" t="s">
        <v>808</v>
      </c>
      <c r="C5" s="122"/>
      <c r="D5" s="77"/>
      <c r="E5" s="208"/>
      <c r="F5" s="209"/>
      <c r="G5" s="209"/>
      <c r="H5" s="207"/>
      <c r="I5" s="122"/>
      <c r="J5" s="118"/>
      <c r="K5" s="210"/>
      <c r="L5" s="76"/>
      <c r="M5" s="76"/>
      <c r="N5" s="75"/>
      <c r="O5" s="75"/>
      <c r="P5" s="75"/>
      <c r="Q5" s="75"/>
      <c r="R5" s="75"/>
      <c r="S5" s="112"/>
      <c r="T5" s="75"/>
      <c r="U5" s="75"/>
      <c r="V5" s="75"/>
      <c r="W5" s="75"/>
      <c r="X5" s="75"/>
      <c r="Y5" s="75"/>
    </row>
    <row r="6" spans="1:25" ht="14.25" customHeight="1">
      <c r="A6" s="95"/>
      <c r="B6" s="385" t="s">
        <v>544</v>
      </c>
      <c r="C6" s="386"/>
      <c r="D6" s="386"/>
      <c r="E6" s="386"/>
      <c r="F6" s="209"/>
      <c r="G6" s="207"/>
      <c r="H6" s="122"/>
      <c r="I6" s="118"/>
      <c r="J6" s="210"/>
      <c r="K6" s="76"/>
      <c r="L6" s="76"/>
      <c r="M6" s="75"/>
      <c r="N6" s="75"/>
      <c r="O6" s="75"/>
      <c r="P6" s="75"/>
      <c r="Q6" s="75"/>
      <c r="R6" s="75"/>
      <c r="S6" s="112"/>
      <c r="T6" s="75"/>
      <c r="U6" s="75"/>
      <c r="V6" s="75"/>
      <c r="W6" s="75"/>
      <c r="X6" s="75"/>
    </row>
    <row r="7" spans="1:25" ht="14.25" customHeight="1">
      <c r="A7" s="95"/>
      <c r="B7" s="257"/>
      <c r="C7" s="211"/>
      <c r="D7" s="211"/>
      <c r="E7" s="211"/>
      <c r="F7" s="209"/>
      <c r="G7" s="207"/>
      <c r="H7" s="122"/>
      <c r="I7" s="118"/>
      <c r="J7" s="210"/>
      <c r="K7" s="76"/>
      <c r="L7" s="76"/>
      <c r="M7" s="75"/>
      <c r="N7" s="75"/>
      <c r="O7" s="75"/>
      <c r="P7" s="75"/>
      <c r="Q7" s="75"/>
      <c r="R7" s="75"/>
      <c r="S7" s="112"/>
      <c r="T7" s="75"/>
      <c r="U7" s="75"/>
      <c r="V7" s="75"/>
      <c r="W7" s="75"/>
      <c r="X7" s="75"/>
    </row>
    <row r="8" spans="1:25" ht="14.25" customHeight="1">
      <c r="A8" s="92"/>
      <c r="B8" s="258" t="str">
        <f>'6 LCA'!C70</f>
        <v>Batteries</v>
      </c>
      <c r="C8" s="118"/>
      <c r="D8" s="259">
        <f>VLOOKUP($B$6,'6 LCA'!$B$71:$O$88,2,FALSE)</f>
        <v>446.82900000000006</v>
      </c>
      <c r="E8" s="260" t="str">
        <f>VLOOKUP($B$6,'6 LCA'!$AF$71:$AG$88,2,FALSE)</f>
        <v>kg CO2e</v>
      </c>
      <c r="F8" s="177"/>
      <c r="G8" s="76"/>
      <c r="H8" s="261" t="str">
        <f>B8</f>
        <v>Batteries</v>
      </c>
      <c r="I8" s="118" t="s">
        <v>27</v>
      </c>
      <c r="J8" s="118"/>
      <c r="K8" s="118"/>
      <c r="L8" s="76"/>
      <c r="M8" s="76"/>
      <c r="N8" s="75"/>
      <c r="O8" s="75"/>
      <c r="P8" s="75"/>
      <c r="Q8" s="75"/>
      <c r="R8" s="75"/>
      <c r="S8" s="112"/>
      <c r="T8" s="2"/>
      <c r="U8" s="2"/>
      <c r="V8" s="2"/>
      <c r="W8" s="2"/>
      <c r="X8" s="2"/>
      <c r="Y8" s="2"/>
    </row>
    <row r="9" spans="1:25" ht="14.25" customHeight="1">
      <c r="A9" s="92"/>
      <c r="B9" s="262" t="str">
        <f>'6 LCA'!D70</f>
        <v>PV</v>
      </c>
      <c r="C9" s="118"/>
      <c r="D9" s="259">
        <f>VLOOKUP($B$6,'6 LCA'!$B$71:$O$88,3,FALSE)</f>
        <v>2735.3348382238937</v>
      </c>
      <c r="E9" s="260" t="str">
        <f>VLOOKUP($B$6,'6 LCA'!$AF$71:$AG$88,2,FALSE)</f>
        <v>kg CO2e</v>
      </c>
      <c r="F9" s="177"/>
      <c r="G9" s="76"/>
      <c r="H9" s="261" t="str">
        <f t="shared" ref="H9:H21" si="0">B9</f>
        <v>PV</v>
      </c>
      <c r="I9" s="218" t="s">
        <v>27</v>
      </c>
      <c r="J9" s="118"/>
      <c r="K9" s="118"/>
      <c r="L9" s="76"/>
      <c r="M9" s="76"/>
      <c r="N9" s="75"/>
      <c r="O9" s="75"/>
      <c r="P9" s="75"/>
      <c r="Q9" s="75"/>
      <c r="R9" s="75"/>
      <c r="S9" s="112"/>
      <c r="T9" s="2"/>
      <c r="U9" s="2"/>
      <c r="V9" s="2"/>
      <c r="W9" s="2"/>
      <c r="X9" s="2"/>
      <c r="Y9" s="2"/>
    </row>
    <row r="10" spans="1:25" ht="14.25" customHeight="1">
      <c r="A10" s="92"/>
      <c r="B10" s="262" t="str">
        <f>'6 LCA'!E70</f>
        <v>Cooling system</v>
      </c>
      <c r="C10" s="118"/>
      <c r="D10" s="259">
        <f>VLOOKUP($B$6,'6 LCA'!$B$71:$O$88,4,FALSE)</f>
        <v>788.70612000000006</v>
      </c>
      <c r="E10" s="260" t="str">
        <f>VLOOKUP($B$6,'6 LCA'!$AF$71:$AG$88,2,FALSE)</f>
        <v>kg CO2e</v>
      </c>
      <c r="F10" s="177"/>
      <c r="G10" s="76"/>
      <c r="H10" s="261" t="str">
        <f t="shared" si="0"/>
        <v>Cooling system</v>
      </c>
      <c r="I10" s="218" t="s">
        <v>27</v>
      </c>
      <c r="J10" s="118"/>
      <c r="K10" s="219"/>
      <c r="L10" s="76"/>
      <c r="M10" s="76"/>
      <c r="N10" s="75"/>
      <c r="O10" s="75"/>
      <c r="P10" s="75"/>
      <c r="Q10" s="75"/>
      <c r="R10" s="75"/>
      <c r="S10" s="112"/>
      <c r="T10" s="2"/>
      <c r="U10" s="2"/>
      <c r="V10" s="2"/>
      <c r="W10" s="2"/>
      <c r="X10" s="2"/>
      <c r="Y10" s="2"/>
    </row>
    <row r="11" spans="1:25" ht="14.25" customHeight="1">
      <c r="A11" s="92"/>
      <c r="B11" s="262" t="str">
        <f>'6 LCA'!F70</f>
        <v>Foundations</v>
      </c>
      <c r="C11" s="118"/>
      <c r="D11" s="259">
        <f>VLOOKUP($B$6,'6 LCA'!$B$71:$O$88,5,FALSE)</f>
        <v>402.64703408923742</v>
      </c>
      <c r="E11" s="260" t="str">
        <f>VLOOKUP($B$6,'6 LCA'!$AF$71:$AG$88,2,FALSE)</f>
        <v>kg CO2e</v>
      </c>
      <c r="F11" s="177"/>
      <c r="G11" s="76"/>
      <c r="H11" s="261" t="str">
        <f t="shared" si="0"/>
        <v>Foundations</v>
      </c>
      <c r="I11" s="218" t="s">
        <v>27</v>
      </c>
      <c r="J11" s="118"/>
      <c r="K11" s="220"/>
      <c r="L11" s="117"/>
      <c r="M11" s="76"/>
      <c r="N11" s="75"/>
      <c r="O11" s="75"/>
      <c r="P11" s="75"/>
      <c r="Q11" s="75"/>
      <c r="R11" s="75"/>
      <c r="S11" s="112"/>
      <c r="T11" s="2"/>
      <c r="U11" s="2"/>
      <c r="V11" s="2"/>
      <c r="W11" s="2"/>
      <c r="X11" s="2"/>
      <c r="Y11" s="2"/>
    </row>
    <row r="12" spans="1:25" ht="14.25" customHeight="1">
      <c r="A12" s="92"/>
      <c r="B12" s="262" t="str">
        <f>'6 LCA'!G70</f>
        <v>Timber structure</v>
      </c>
      <c r="C12" s="118"/>
      <c r="D12" s="259">
        <f>VLOOKUP($B$6,'6 LCA'!$B$71:$O$88,6,FALSE)</f>
        <v>37.370387370032645</v>
      </c>
      <c r="E12" s="260" t="str">
        <f>VLOOKUP($B$6,'6 LCA'!$AF$71:$AG$88,2,FALSE)</f>
        <v>kg CO2e</v>
      </c>
      <c r="F12" s="177"/>
      <c r="G12" s="76"/>
      <c r="H12" s="261" t="str">
        <f t="shared" si="0"/>
        <v>Timber structure</v>
      </c>
      <c r="I12" s="223">
        <f>'6 LCA'!G89</f>
        <v>-717.04144512000005</v>
      </c>
      <c r="J12" s="260" t="s">
        <v>809</v>
      </c>
      <c r="K12" s="222"/>
      <c r="L12" s="106"/>
      <c r="M12" s="76"/>
      <c r="N12" s="75"/>
      <c r="O12" s="75"/>
      <c r="P12" s="75"/>
      <c r="Q12" s="75"/>
      <c r="R12" s="75"/>
      <c r="S12" s="112"/>
      <c r="T12" s="2"/>
      <c r="U12" s="2"/>
      <c r="V12" s="2"/>
      <c r="W12" s="2"/>
      <c r="X12" s="2"/>
      <c r="Y12" s="2"/>
    </row>
    <row r="13" spans="1:25" ht="14.25" customHeight="1">
      <c r="A13" s="92"/>
      <c r="B13" s="262" t="str">
        <f>'6 LCA'!H70</f>
        <v>Vapour barrier</v>
      </c>
      <c r="C13" s="118"/>
      <c r="D13" s="259">
        <f>VLOOKUP($B$6,'6 LCA'!$B$71:$O$88,7,FALSE)</f>
        <v>47.548627199999999</v>
      </c>
      <c r="E13" s="260" t="str">
        <f>VLOOKUP($B$6,'6 LCA'!$AF$71:$AG$88,2,FALSE)</f>
        <v>kg CO2e</v>
      </c>
      <c r="F13" s="177"/>
      <c r="G13" s="76"/>
      <c r="H13" s="261" t="str">
        <f t="shared" si="0"/>
        <v>Vapour barrier</v>
      </c>
      <c r="I13" s="223" t="s">
        <v>27</v>
      </c>
      <c r="J13" s="260"/>
      <c r="K13" s="222"/>
      <c r="L13" s="106"/>
      <c r="M13" s="76"/>
      <c r="N13" s="75"/>
      <c r="O13" s="75"/>
      <c r="P13" s="75"/>
      <c r="Q13" s="75"/>
      <c r="R13" s="75"/>
      <c r="S13" s="112"/>
      <c r="T13" s="2"/>
      <c r="U13" s="2"/>
      <c r="V13" s="2"/>
      <c r="W13" s="2"/>
      <c r="X13" s="2"/>
      <c r="Y13" s="2"/>
    </row>
    <row r="14" spans="1:25" ht="14.25" customHeight="1">
      <c r="A14" s="92"/>
      <c r="B14" s="262" t="str">
        <f>'6 LCA'!I70</f>
        <v>Insulated panels</v>
      </c>
      <c r="C14" s="118"/>
      <c r="D14" s="259">
        <f>VLOOKUP($B$6,'6 LCA'!$B$71:$O$88,8,FALSE)</f>
        <v>258.74395714285714</v>
      </c>
      <c r="E14" s="260" t="str">
        <f>VLOOKUP($B$6,'6 LCA'!$AF$71:$AG$88,2,FALSE)</f>
        <v>kg CO2e</v>
      </c>
      <c r="F14" s="177"/>
      <c r="G14" s="76"/>
      <c r="H14" s="261" t="str">
        <f t="shared" si="0"/>
        <v>Insulated panels</v>
      </c>
      <c r="I14" s="223">
        <f>'6 LCA'!I89</f>
        <v>-1347.3216</v>
      </c>
      <c r="J14" s="260" t="s">
        <v>809</v>
      </c>
      <c r="K14" s="222"/>
      <c r="L14" s="106"/>
      <c r="M14" s="76"/>
      <c r="N14" s="75"/>
      <c r="O14" s="75"/>
      <c r="P14" s="75"/>
      <c r="Q14" s="75"/>
      <c r="R14" s="75"/>
      <c r="S14" s="112"/>
      <c r="T14" s="2"/>
      <c r="U14" s="2"/>
      <c r="V14" s="2"/>
      <c r="W14" s="2"/>
      <c r="X14" s="2"/>
      <c r="Y14" s="2"/>
    </row>
    <row r="15" spans="1:25" ht="14.25" customHeight="1">
      <c r="A15" s="92"/>
      <c r="B15" s="262" t="str">
        <f>'6 LCA'!J70</f>
        <v>External planting</v>
      </c>
      <c r="C15" s="118"/>
      <c r="D15" s="259">
        <f>VLOOKUP($B$6,'6 LCA'!$B$71:$O$88,9,FALSE)</f>
        <v>0.1974234028680491</v>
      </c>
      <c r="E15" s="260" t="str">
        <f>VLOOKUP($B$6,'6 LCA'!$AF$71:$AG$88,2,FALSE)</f>
        <v>kg CO2e</v>
      </c>
      <c r="F15" s="177"/>
      <c r="G15" s="76"/>
      <c r="H15" s="261" t="str">
        <f t="shared" si="0"/>
        <v>External planting</v>
      </c>
      <c r="I15" s="223">
        <f>'6 LCA'!J89</f>
        <v>-71.054401929608105</v>
      </c>
      <c r="J15" s="260" t="s">
        <v>809</v>
      </c>
      <c r="K15" s="222"/>
      <c r="L15" s="106"/>
      <c r="M15" s="76"/>
      <c r="N15" s="75"/>
      <c r="O15" s="75"/>
      <c r="P15" s="75"/>
      <c r="Q15" s="75"/>
      <c r="R15" s="75"/>
      <c r="S15" s="112"/>
      <c r="T15" s="2"/>
      <c r="U15" s="2"/>
      <c r="V15" s="2"/>
      <c r="W15" s="2"/>
      <c r="X15" s="2"/>
      <c r="Y15" s="2"/>
    </row>
    <row r="16" spans="1:25" ht="14.25" customHeight="1">
      <c r="A16" s="92"/>
      <c r="B16" s="262" t="str">
        <f>'6 LCA'!K70</f>
        <v>Rainwater tank</v>
      </c>
      <c r="C16" s="118"/>
      <c r="D16" s="259">
        <f>VLOOKUP($B$6,'6 LCA'!$B$71:$O$88,10,FALSE)</f>
        <v>102.66036190902507</v>
      </c>
      <c r="E16" s="260" t="str">
        <f>VLOOKUP($B$6,'6 LCA'!$AF$71:$AG$88,2,FALSE)</f>
        <v>kg CO2e</v>
      </c>
      <c r="F16" s="177"/>
      <c r="G16" s="76"/>
      <c r="H16" s="261" t="str">
        <f t="shared" si="0"/>
        <v>Rainwater tank</v>
      </c>
      <c r="I16" s="223" t="s">
        <v>27</v>
      </c>
      <c r="J16" s="260"/>
      <c r="K16" s="77"/>
      <c r="L16" s="117"/>
      <c r="M16" s="76"/>
      <c r="N16" s="75"/>
      <c r="O16" s="75"/>
      <c r="P16" s="75"/>
      <c r="Q16" s="75"/>
      <c r="R16" s="75"/>
      <c r="S16" s="112"/>
      <c r="T16" s="2"/>
      <c r="U16" s="2"/>
      <c r="V16" s="2"/>
      <c r="W16" s="2"/>
      <c r="X16" s="2"/>
      <c r="Y16" s="2"/>
    </row>
    <row r="17" spans="1:25" ht="14.25" customHeight="1">
      <c r="A17" s="92"/>
      <c r="B17" s="262" t="str">
        <f>'6 LCA'!L70</f>
        <v>Door</v>
      </c>
      <c r="C17" s="118"/>
      <c r="D17" s="259">
        <f>VLOOKUP($B$6,'6 LCA'!$B$71:$O$88,11,FALSE)</f>
        <v>11.861733245684524</v>
      </c>
      <c r="E17" s="260" t="str">
        <f>VLOOKUP($B$6,'6 LCA'!$AF$71:$AG$88,2,FALSE)</f>
        <v>kg CO2e</v>
      </c>
      <c r="F17" s="177"/>
      <c r="G17" s="76"/>
      <c r="H17" s="261" t="str">
        <f t="shared" si="0"/>
        <v>Door</v>
      </c>
      <c r="I17" s="221" t="s">
        <v>27</v>
      </c>
      <c r="J17" s="260"/>
      <c r="K17" s="219"/>
      <c r="L17" s="118"/>
      <c r="M17" s="76"/>
      <c r="N17" s="77"/>
      <c r="O17" s="75"/>
      <c r="P17" s="75"/>
      <c r="Q17" s="75"/>
      <c r="R17" s="75"/>
      <c r="S17" s="112"/>
      <c r="T17" s="2"/>
      <c r="U17" s="2"/>
      <c r="V17" s="2"/>
      <c r="W17" s="2"/>
      <c r="X17" s="2"/>
      <c r="Y17" s="2"/>
    </row>
    <row r="18" spans="1:25" ht="14.25" customHeight="1">
      <c r="A18" s="92"/>
      <c r="B18" s="262" t="str">
        <f>'6 LCA'!M70</f>
        <v>Ecoboards</v>
      </c>
      <c r="C18" s="118"/>
      <c r="D18" s="259">
        <f>VLOOKUP($B$6,'6 LCA'!$B$71:$O$88,12,FALSE)</f>
        <v>443.49443842859995</v>
      </c>
      <c r="E18" s="260" t="str">
        <f>VLOOKUP($B$6,'6 LCA'!$AF$71:$AG$88,2,FALSE)</f>
        <v>kg CO2e</v>
      </c>
      <c r="F18" s="177"/>
      <c r="G18" s="76"/>
      <c r="H18" s="261" t="str">
        <f t="shared" si="0"/>
        <v>Ecoboards</v>
      </c>
      <c r="I18" s="223">
        <f>'6 LCA'!M89</f>
        <v>0</v>
      </c>
      <c r="J18" s="260" t="s">
        <v>809</v>
      </c>
      <c r="K18" s="222"/>
      <c r="L18" s="106"/>
      <c r="M18" s="76"/>
      <c r="N18" s="75"/>
      <c r="O18" s="75"/>
      <c r="P18" s="75"/>
      <c r="Q18" s="75"/>
      <c r="R18" s="75"/>
      <c r="S18" s="112"/>
      <c r="T18" s="2"/>
      <c r="U18" s="2"/>
      <c r="V18" s="2"/>
      <c r="W18" s="2"/>
      <c r="X18" s="2"/>
      <c r="Y18" s="2"/>
    </row>
    <row r="19" spans="1:25" ht="14.25" customHeight="1">
      <c r="A19" s="92"/>
      <c r="B19" s="262" t="str">
        <f>'6 LCA'!N70</f>
        <v>Timber boards</v>
      </c>
      <c r="C19" s="118"/>
      <c r="D19" s="259">
        <f>VLOOKUP($B$6,'6 LCA'!$B$71:$O$88,13,FALSE)</f>
        <v>311.3143</v>
      </c>
      <c r="E19" s="260" t="str">
        <f>VLOOKUP($B$6,'6 LCA'!$AF$71:$AG$88,2,FALSE)</f>
        <v>kg CO2e</v>
      </c>
      <c r="F19" s="177"/>
      <c r="G19" s="76"/>
      <c r="H19" s="261" t="str">
        <f t="shared" si="0"/>
        <v>Timber boards</v>
      </c>
      <c r="I19" s="223">
        <f>'6 LCA'!N89</f>
        <v>-1045.24992</v>
      </c>
      <c r="J19" s="260" t="s">
        <v>809</v>
      </c>
      <c r="K19" s="224"/>
      <c r="L19" s="117"/>
      <c r="M19" s="76"/>
      <c r="N19" s="75"/>
      <c r="O19" s="75"/>
      <c r="P19" s="75"/>
      <c r="Q19" s="75"/>
      <c r="R19" s="75"/>
      <c r="S19" s="112"/>
      <c r="T19" s="2"/>
      <c r="U19" s="2"/>
      <c r="V19" s="2"/>
      <c r="W19" s="2"/>
      <c r="X19" s="2"/>
      <c r="Y19" s="2"/>
    </row>
    <row r="20" spans="1:25" ht="14.25" customHeight="1">
      <c r="A20" s="92"/>
      <c r="B20" s="263" t="s">
        <v>540</v>
      </c>
      <c r="C20" s="118"/>
      <c r="D20" s="259">
        <f>VLOOKUP($B$6,'6 LCA'!$B$71:$O$88,14,FALSE)</f>
        <v>78.322379999999995</v>
      </c>
      <c r="E20" s="260" t="str">
        <f>VLOOKUP($B$6,'6 LCA'!$AF$71:$AG$88,2,FALSE)</f>
        <v>kg CO2e</v>
      </c>
      <c r="F20" s="177"/>
      <c r="G20" s="76"/>
      <c r="H20" s="261" t="str">
        <f t="shared" si="0"/>
        <v>Charcoal cooler</v>
      </c>
      <c r="I20" s="223">
        <f>'6 LCA'!O89</f>
        <v>-51.324000000000005</v>
      </c>
      <c r="J20" s="260" t="s">
        <v>809</v>
      </c>
      <c r="K20" s="225"/>
      <c r="L20" s="118"/>
      <c r="M20" s="76"/>
      <c r="N20" s="75"/>
      <c r="O20" s="75"/>
      <c r="P20" s="75"/>
      <c r="Q20" s="75"/>
      <c r="R20" s="75"/>
      <c r="S20" s="112"/>
      <c r="T20" s="2"/>
      <c r="U20" s="2"/>
      <c r="V20" s="2"/>
      <c r="W20" s="2"/>
      <c r="X20" s="2"/>
      <c r="Y20" s="2"/>
    </row>
    <row r="21" spans="1:25" ht="14.25" customHeight="1">
      <c r="A21" s="92"/>
      <c r="B21" s="264" t="s">
        <v>482</v>
      </c>
      <c r="C21" s="226"/>
      <c r="D21" s="259">
        <f>VLOOKUP($B$6,'6 LCA'!$B$71:$R$88,17,FALSE)</f>
        <v>249.96184094610558</v>
      </c>
      <c r="E21" s="260" t="str">
        <f>VLOOKUP($B$6,'6 LCA'!$AF$71:$AG$88,2,FALSE)</f>
        <v>kg CO2e</v>
      </c>
      <c r="F21" s="76"/>
      <c r="G21" s="76"/>
      <c r="H21" s="261" t="str">
        <f t="shared" si="0"/>
        <v>Transport</v>
      </c>
      <c r="I21" s="228"/>
      <c r="J21" s="106"/>
      <c r="K21" s="118"/>
      <c r="L21" s="76"/>
      <c r="M21" s="76"/>
      <c r="N21" s="75"/>
      <c r="O21" s="75"/>
      <c r="P21" s="75"/>
      <c r="Q21" s="75"/>
      <c r="R21" s="75"/>
      <c r="S21" s="112"/>
      <c r="T21" s="2"/>
      <c r="U21" s="2"/>
      <c r="V21" s="2"/>
      <c r="W21" s="2"/>
      <c r="X21" s="2"/>
      <c r="Y21" s="2"/>
    </row>
    <row r="22" spans="1:25" ht="14.25" customHeight="1">
      <c r="A22" s="92"/>
      <c r="B22" s="387" t="s">
        <v>807</v>
      </c>
      <c r="C22" s="383"/>
      <c r="D22" s="383"/>
      <c r="E22" s="106"/>
      <c r="F22" s="76"/>
      <c r="G22" s="76"/>
      <c r="H22" s="369" t="s">
        <v>541</v>
      </c>
      <c r="I22" s="369"/>
      <c r="J22" s="76"/>
      <c r="K22" s="265"/>
      <c r="L22" s="265"/>
      <c r="M22" s="265"/>
      <c r="N22" s="75"/>
      <c r="O22" s="75"/>
      <c r="P22" s="75"/>
      <c r="Q22" s="75"/>
      <c r="R22" s="75"/>
      <c r="S22" s="112"/>
      <c r="T22" s="2"/>
      <c r="U22" s="2"/>
      <c r="V22" s="2"/>
      <c r="W22" s="2"/>
      <c r="X22" s="2"/>
      <c r="Y22" s="2"/>
    </row>
    <row r="23" spans="1:25" ht="14.25" customHeight="1">
      <c r="A23" s="92"/>
      <c r="B23" s="387"/>
      <c r="C23" s="383"/>
      <c r="D23" s="383"/>
      <c r="E23" s="76"/>
      <c r="F23" s="76"/>
      <c r="G23" s="76"/>
      <c r="H23" s="369"/>
      <c r="I23" s="369"/>
      <c r="J23" s="76"/>
      <c r="K23" s="265"/>
      <c r="L23" s="265"/>
      <c r="M23" s="265"/>
      <c r="N23" s="75"/>
      <c r="O23" s="75"/>
      <c r="P23" s="75"/>
      <c r="Q23" s="75"/>
      <c r="R23" s="75"/>
      <c r="S23" s="112"/>
      <c r="T23" s="2"/>
      <c r="U23" s="2"/>
      <c r="V23" s="2"/>
      <c r="W23" s="2"/>
      <c r="X23" s="2"/>
      <c r="Y23" s="2"/>
    </row>
    <row r="24" spans="1:25" ht="24" customHeight="1">
      <c r="A24" s="92"/>
      <c r="B24" s="266"/>
      <c r="C24" s="267">
        <f>IF(B6="climate change - global warming potential (GWP100)",'6 LCA'!W38,"-")</f>
        <v>5914.9924419583031</v>
      </c>
      <c r="D24" s="231" t="s">
        <v>811</v>
      </c>
      <c r="E24" s="122"/>
      <c r="F24" s="122"/>
      <c r="G24" s="122"/>
      <c r="H24" s="268">
        <f>IF(B6="climate change - global warming potential (GWP100)",'6 LCA'!P72,"-")</f>
        <v>-3231.991367049608</v>
      </c>
      <c r="I24" s="231" t="s">
        <v>811</v>
      </c>
      <c r="J24" s="122"/>
      <c r="K24" s="384"/>
      <c r="L24" s="384"/>
      <c r="M24" s="230"/>
      <c r="N24" s="75"/>
      <c r="O24" s="75"/>
      <c r="P24" s="75"/>
      <c r="Q24" s="75"/>
      <c r="R24" s="75"/>
      <c r="S24" s="112"/>
      <c r="T24" s="2"/>
      <c r="U24" s="2"/>
      <c r="V24" s="2"/>
      <c r="W24" s="2"/>
      <c r="X24" s="2"/>
      <c r="Y24" s="2"/>
    </row>
    <row r="25" spans="1:25" ht="14.25" customHeight="1">
      <c r="A25" s="92"/>
      <c r="B25" s="379" t="s">
        <v>853</v>
      </c>
      <c r="C25" s="380"/>
      <c r="D25" s="380"/>
      <c r="E25" s="76"/>
      <c r="F25" s="76"/>
      <c r="G25" s="76"/>
      <c r="H25" s="380" t="s">
        <v>854</v>
      </c>
      <c r="I25" s="380"/>
      <c r="J25" s="76"/>
      <c r="K25" s="76"/>
      <c r="L25" s="77"/>
      <c r="M25" s="76"/>
      <c r="N25" s="75"/>
      <c r="O25" s="75"/>
      <c r="P25" s="75"/>
      <c r="Q25" s="75"/>
      <c r="R25" s="75"/>
      <c r="S25" s="112"/>
      <c r="T25" s="2"/>
      <c r="U25" s="2"/>
      <c r="V25" s="2"/>
      <c r="W25" s="2"/>
      <c r="X25" s="2"/>
      <c r="Y25" s="2"/>
    </row>
    <row r="26" spans="1:25" ht="14.25" customHeight="1">
      <c r="A26" s="92"/>
      <c r="B26" s="379"/>
      <c r="C26" s="380"/>
      <c r="D26" s="380"/>
      <c r="E26" s="76"/>
      <c r="F26" s="76"/>
      <c r="G26" s="76"/>
      <c r="H26" s="380"/>
      <c r="I26" s="380"/>
      <c r="J26" s="76"/>
      <c r="K26" s="76"/>
      <c r="L26" s="76"/>
      <c r="M26" s="76"/>
      <c r="N26" s="75"/>
      <c r="O26" s="75"/>
      <c r="P26" s="75"/>
      <c r="Q26" s="75"/>
      <c r="R26" s="75"/>
      <c r="S26" s="112"/>
      <c r="T26" s="2"/>
      <c r="U26" s="2"/>
      <c r="V26" s="2"/>
      <c r="W26" s="2"/>
      <c r="X26" s="2"/>
      <c r="Y26" s="2"/>
    </row>
    <row r="27" spans="1:25" ht="14.25" customHeight="1">
      <c r="A27" s="92"/>
      <c r="B27" s="111"/>
      <c r="C27" s="77"/>
      <c r="D27" s="76"/>
      <c r="E27" s="76"/>
      <c r="F27" s="76"/>
      <c r="G27" s="76"/>
      <c r="H27" s="76"/>
      <c r="I27" s="76"/>
      <c r="J27" s="76"/>
      <c r="K27" s="76"/>
      <c r="L27" s="76"/>
      <c r="M27" s="76"/>
      <c r="N27" s="75"/>
      <c r="O27" s="75"/>
      <c r="P27" s="75"/>
      <c r="Q27" s="75"/>
      <c r="R27" s="75"/>
      <c r="S27" s="112"/>
      <c r="T27" s="2"/>
      <c r="U27" s="2"/>
      <c r="V27" s="2"/>
      <c r="W27" s="2"/>
      <c r="X27" s="2"/>
      <c r="Y27" s="2"/>
    </row>
    <row r="28" spans="1:25" ht="28.5" customHeight="1">
      <c r="A28" s="92"/>
      <c r="B28" s="111"/>
      <c r="C28" s="77"/>
      <c r="D28" s="383" t="s">
        <v>810</v>
      </c>
      <c r="E28" s="383"/>
      <c r="F28" s="383"/>
      <c r="G28" s="213">
        <f>IF(B6="climate change - global warming potential (GWP100)",'6 LCA'!S14,"-")</f>
        <v>2683.001074908695</v>
      </c>
      <c r="H28" s="212" t="s">
        <v>811</v>
      </c>
      <c r="I28" s="77"/>
      <c r="J28" s="76"/>
      <c r="K28" s="76"/>
      <c r="L28" s="76"/>
      <c r="M28" s="76"/>
      <c r="N28" s="75"/>
      <c r="O28" s="75"/>
      <c r="P28" s="75"/>
      <c r="Q28" s="75"/>
      <c r="R28" s="75"/>
      <c r="S28" s="112"/>
      <c r="T28" s="2"/>
      <c r="U28" s="2"/>
      <c r="V28" s="2"/>
      <c r="W28" s="2"/>
      <c r="X28" s="2"/>
      <c r="Y28" s="2"/>
    </row>
    <row r="29" spans="1:25" ht="21.75" customHeight="1">
      <c r="A29" s="92"/>
      <c r="B29" s="111"/>
      <c r="C29" s="77"/>
      <c r="D29" s="377"/>
      <c r="E29" s="378"/>
      <c r="F29" s="378"/>
      <c r="G29" s="381" t="s">
        <v>855</v>
      </c>
      <c r="H29" s="381"/>
      <c r="I29" s="76"/>
      <c r="J29" s="76"/>
      <c r="K29" s="76"/>
      <c r="L29" s="76"/>
      <c r="M29" s="76"/>
      <c r="N29" s="75"/>
      <c r="O29" s="75"/>
      <c r="P29" s="75"/>
      <c r="Q29" s="75"/>
      <c r="R29" s="75"/>
      <c r="S29" s="112"/>
      <c r="T29" s="2"/>
      <c r="U29" s="2"/>
      <c r="V29" s="2"/>
      <c r="W29" s="2"/>
      <c r="X29" s="2"/>
      <c r="Y29" s="2"/>
    </row>
    <row r="30" spans="1:25" ht="14.25" customHeight="1">
      <c r="A30" s="92"/>
      <c r="B30" s="111"/>
      <c r="C30" s="76"/>
      <c r="D30" s="76"/>
      <c r="E30" s="76"/>
      <c r="F30" s="76"/>
      <c r="G30" s="382"/>
      <c r="H30" s="382"/>
      <c r="I30" s="76"/>
      <c r="J30" s="76"/>
      <c r="K30" s="76"/>
      <c r="L30" s="76"/>
      <c r="M30" s="76"/>
      <c r="N30" s="75"/>
      <c r="O30" s="75"/>
      <c r="P30" s="75"/>
      <c r="Q30" s="75"/>
      <c r="R30" s="75"/>
      <c r="S30" s="112"/>
      <c r="T30" s="2"/>
      <c r="U30" s="2"/>
      <c r="V30" s="2"/>
      <c r="W30" s="2"/>
      <c r="X30" s="2"/>
      <c r="Y30" s="2"/>
    </row>
    <row r="31" spans="1:25" ht="14.25" customHeight="1">
      <c r="A31" s="92"/>
      <c r="B31" s="111"/>
      <c r="C31" s="76"/>
      <c r="D31" s="76"/>
      <c r="E31" s="76"/>
      <c r="F31" s="76"/>
      <c r="G31" s="76"/>
      <c r="H31" s="76"/>
      <c r="I31" s="76"/>
      <c r="J31" s="76"/>
      <c r="K31" s="76"/>
      <c r="L31" s="76"/>
      <c r="M31" s="76"/>
      <c r="N31" s="75"/>
      <c r="O31" s="75"/>
      <c r="P31" s="75"/>
      <c r="Q31" s="75"/>
      <c r="R31" s="75"/>
      <c r="S31" s="112"/>
      <c r="T31" s="2"/>
      <c r="U31" s="2"/>
      <c r="V31" s="2"/>
      <c r="W31" s="2"/>
      <c r="X31" s="2"/>
      <c r="Y31" s="2"/>
    </row>
    <row r="32" spans="1:25" ht="14.25" customHeight="1">
      <c r="A32" s="92"/>
      <c r="B32" s="111"/>
      <c r="C32" s="76"/>
      <c r="D32" s="76"/>
      <c r="E32" s="76"/>
      <c r="F32" s="76"/>
      <c r="G32" s="76"/>
      <c r="H32" s="76"/>
      <c r="I32" s="76"/>
      <c r="J32" s="76"/>
      <c r="K32" s="76"/>
      <c r="L32" s="76"/>
      <c r="M32" s="76"/>
      <c r="N32" s="75"/>
      <c r="O32" s="75"/>
      <c r="P32" s="75"/>
      <c r="Q32" s="75"/>
      <c r="R32" s="75"/>
      <c r="S32" s="112"/>
      <c r="T32" s="2"/>
      <c r="U32" s="2"/>
      <c r="V32" s="2"/>
      <c r="W32" s="2"/>
      <c r="X32" s="2"/>
      <c r="Y32" s="2"/>
    </row>
    <row r="33" spans="1:25" ht="14.25" customHeight="1">
      <c r="A33" s="92"/>
      <c r="B33" s="111"/>
      <c r="C33" s="76"/>
      <c r="D33" s="76"/>
      <c r="E33" s="76"/>
      <c r="F33" s="76"/>
      <c r="G33" s="76"/>
      <c r="H33" s="76"/>
      <c r="I33" s="76"/>
      <c r="J33" s="76"/>
      <c r="K33" s="76"/>
      <c r="L33" s="76"/>
      <c r="M33" s="76"/>
      <c r="N33" s="75"/>
      <c r="O33" s="75"/>
      <c r="P33" s="75"/>
      <c r="Q33" s="75"/>
      <c r="R33" s="75"/>
      <c r="S33" s="112"/>
      <c r="T33" s="2"/>
      <c r="U33" s="2"/>
      <c r="V33" s="2"/>
      <c r="W33" s="2"/>
      <c r="X33" s="2"/>
      <c r="Y33" s="2"/>
    </row>
    <row r="34" spans="1:25" ht="14.25" customHeight="1">
      <c r="A34" s="92"/>
      <c r="B34" s="111"/>
      <c r="C34" s="76"/>
      <c r="D34" s="76"/>
      <c r="E34" s="76"/>
      <c r="F34" s="76"/>
      <c r="G34" s="76"/>
      <c r="H34" s="76"/>
      <c r="I34" s="76"/>
      <c r="J34" s="76"/>
      <c r="K34" s="76"/>
      <c r="L34" s="76"/>
      <c r="M34" s="76"/>
      <c r="N34" s="75"/>
      <c r="O34" s="75"/>
      <c r="P34" s="75"/>
      <c r="Q34" s="75"/>
      <c r="R34" s="75"/>
      <c r="S34" s="112"/>
      <c r="T34" s="2"/>
      <c r="U34" s="2"/>
      <c r="V34" s="2"/>
      <c r="W34" s="2"/>
      <c r="X34" s="2"/>
      <c r="Y34" s="2"/>
    </row>
    <row r="35" spans="1:25" ht="14.25" customHeight="1">
      <c r="A35" s="92"/>
      <c r="B35" s="111"/>
      <c r="C35" s="76"/>
      <c r="D35" s="76"/>
      <c r="E35" s="76"/>
      <c r="F35" s="76"/>
      <c r="G35" s="76"/>
      <c r="H35" s="76"/>
      <c r="I35" s="76"/>
      <c r="J35" s="76"/>
      <c r="K35" s="76"/>
      <c r="L35" s="76"/>
      <c r="M35" s="76"/>
      <c r="N35" s="75"/>
      <c r="O35" s="75"/>
      <c r="P35" s="75"/>
      <c r="Q35" s="75"/>
      <c r="R35" s="75"/>
      <c r="S35" s="112"/>
      <c r="T35" s="2"/>
      <c r="U35" s="2"/>
      <c r="V35" s="2"/>
      <c r="W35" s="2"/>
      <c r="X35" s="2"/>
      <c r="Y35" s="2"/>
    </row>
    <row r="36" spans="1:25" ht="14.25" customHeight="1">
      <c r="A36" s="92"/>
      <c r="B36" s="111"/>
      <c r="C36" s="76"/>
      <c r="D36" s="76"/>
      <c r="E36" s="76"/>
      <c r="F36" s="76"/>
      <c r="G36" s="76"/>
      <c r="H36" s="76"/>
      <c r="I36" s="76"/>
      <c r="J36" s="76"/>
      <c r="K36" s="76"/>
      <c r="L36" s="76"/>
      <c r="M36" s="76"/>
      <c r="N36" s="75"/>
      <c r="O36" s="75"/>
      <c r="P36" s="75"/>
      <c r="Q36" s="75"/>
      <c r="R36" s="75"/>
      <c r="S36" s="112"/>
      <c r="T36" s="2"/>
      <c r="U36" s="2"/>
      <c r="V36" s="2"/>
      <c r="W36" s="2"/>
      <c r="X36" s="2"/>
      <c r="Y36" s="2"/>
    </row>
    <row r="37" spans="1:25" ht="14.25" customHeight="1">
      <c r="A37" s="92"/>
      <c r="B37" s="111"/>
      <c r="C37" s="76"/>
      <c r="D37" s="76"/>
      <c r="E37" s="76"/>
      <c r="F37" s="76"/>
      <c r="G37" s="76"/>
      <c r="H37" s="76"/>
      <c r="I37" s="76"/>
      <c r="J37" s="76"/>
      <c r="K37" s="76"/>
      <c r="L37" s="76"/>
      <c r="M37" s="76"/>
      <c r="N37" s="75"/>
      <c r="O37" s="75"/>
      <c r="P37" s="75"/>
      <c r="Q37" s="75"/>
      <c r="R37" s="75"/>
      <c r="S37" s="112"/>
      <c r="T37" s="2"/>
      <c r="U37" s="2"/>
      <c r="V37" s="2"/>
      <c r="W37" s="2"/>
      <c r="X37" s="2"/>
      <c r="Y37" s="2"/>
    </row>
    <row r="38" spans="1:25" ht="14.25" customHeight="1">
      <c r="A38" s="92"/>
      <c r="B38" s="111"/>
      <c r="C38" s="76"/>
      <c r="D38" s="76"/>
      <c r="E38" s="76"/>
      <c r="F38" s="76"/>
      <c r="G38" s="76"/>
      <c r="H38" s="76"/>
      <c r="I38" s="76"/>
      <c r="J38" s="76"/>
      <c r="K38" s="76"/>
      <c r="L38" s="76"/>
      <c r="M38" s="76"/>
      <c r="N38" s="75"/>
      <c r="O38" s="75"/>
      <c r="P38" s="75"/>
      <c r="Q38" s="75"/>
      <c r="R38" s="75"/>
      <c r="S38" s="112"/>
      <c r="T38" s="2"/>
      <c r="U38" s="2"/>
      <c r="V38" s="2"/>
      <c r="W38" s="2"/>
      <c r="X38" s="2"/>
      <c r="Y38" s="2"/>
    </row>
    <row r="39" spans="1:25" ht="14.25" customHeight="1" thickBot="1">
      <c r="A39" s="92"/>
      <c r="B39" s="233"/>
      <c r="C39" s="232"/>
      <c r="D39" s="232"/>
      <c r="E39" s="232"/>
      <c r="F39" s="232"/>
      <c r="G39" s="232"/>
      <c r="H39" s="232"/>
      <c r="I39" s="232"/>
      <c r="J39" s="232"/>
      <c r="K39" s="232"/>
      <c r="L39" s="232"/>
      <c r="M39" s="232"/>
      <c r="N39" s="115"/>
      <c r="O39" s="115"/>
      <c r="P39" s="115"/>
      <c r="Q39" s="115"/>
      <c r="R39" s="115"/>
      <c r="S39" s="116"/>
      <c r="T39" s="2"/>
      <c r="U39" s="2"/>
      <c r="V39" s="2"/>
      <c r="W39" s="2"/>
      <c r="X39" s="2"/>
      <c r="Y39" s="2"/>
    </row>
    <row r="40" spans="1:25" ht="14.25" customHeight="1">
      <c r="A40" s="92"/>
      <c r="B40" s="93"/>
      <c r="C40" s="93"/>
      <c r="D40" s="93"/>
      <c r="E40" s="93"/>
      <c r="F40" s="93"/>
      <c r="G40" s="93"/>
      <c r="H40" s="93"/>
      <c r="I40" s="93"/>
      <c r="J40" s="93"/>
      <c r="K40" s="93"/>
      <c r="L40" s="76"/>
      <c r="M40" s="93"/>
      <c r="N40" s="2"/>
      <c r="O40" s="2"/>
      <c r="P40" s="2"/>
      <c r="Q40" s="2"/>
      <c r="R40" s="2"/>
      <c r="S40" s="2"/>
      <c r="T40" s="2"/>
      <c r="U40" s="2"/>
      <c r="V40" s="2"/>
      <c r="W40" s="2"/>
      <c r="X40" s="2"/>
      <c r="Y40" s="2"/>
    </row>
    <row r="41" spans="1:25" ht="14.25" customHeight="1">
      <c r="A41" s="92"/>
      <c r="B41" s="93"/>
      <c r="C41" s="93"/>
      <c r="D41" s="93"/>
      <c r="E41" s="93"/>
      <c r="F41" s="93"/>
      <c r="G41" s="93"/>
      <c r="H41" s="93"/>
      <c r="I41" s="93"/>
      <c r="J41" s="93"/>
      <c r="K41" s="93"/>
      <c r="L41" s="76"/>
      <c r="M41" s="93"/>
      <c r="N41" s="2"/>
      <c r="O41" s="2"/>
      <c r="P41" s="2"/>
      <c r="Q41" s="2"/>
      <c r="R41" s="2"/>
      <c r="S41" s="2"/>
      <c r="T41" s="2"/>
      <c r="U41" s="2"/>
      <c r="V41" s="2"/>
      <c r="W41" s="2"/>
      <c r="X41" s="2"/>
      <c r="Y41" s="2"/>
    </row>
    <row r="42" spans="1:25" ht="14.25" customHeight="1">
      <c r="A42" s="92"/>
      <c r="B42" s="93"/>
      <c r="C42" s="93"/>
      <c r="D42" s="93"/>
      <c r="E42" s="93"/>
      <c r="F42" s="93"/>
      <c r="G42" s="93"/>
      <c r="H42" s="93"/>
      <c r="I42" s="93"/>
      <c r="J42" s="93"/>
      <c r="K42" s="93"/>
      <c r="L42" s="76"/>
      <c r="M42" s="93"/>
      <c r="N42" s="2"/>
      <c r="O42" s="2"/>
      <c r="P42" s="2"/>
      <c r="Q42" s="2"/>
      <c r="R42" s="2"/>
      <c r="S42" s="2"/>
      <c r="T42" s="2"/>
      <c r="U42" s="2"/>
      <c r="V42" s="2"/>
      <c r="W42" s="2"/>
      <c r="X42" s="2"/>
      <c r="Y42" s="2"/>
    </row>
    <row r="43" spans="1:25" ht="14.25" customHeight="1">
      <c r="A43" s="92"/>
      <c r="B43" s="93"/>
      <c r="C43" s="93"/>
      <c r="D43" s="93"/>
      <c r="E43" s="93"/>
      <c r="F43" s="93"/>
      <c r="G43" s="93"/>
      <c r="H43" s="93"/>
      <c r="I43" s="93"/>
      <c r="J43" s="93"/>
      <c r="K43" s="93"/>
      <c r="L43" s="76"/>
      <c r="M43" s="93"/>
      <c r="N43" s="2"/>
      <c r="O43" s="2"/>
      <c r="P43" s="2"/>
      <c r="Q43" s="2"/>
      <c r="R43" s="2"/>
      <c r="S43" s="2"/>
      <c r="T43" s="2"/>
      <c r="U43" s="2"/>
      <c r="V43" s="2"/>
      <c r="W43" s="2"/>
      <c r="X43" s="2"/>
      <c r="Y43" s="2"/>
    </row>
    <row r="44" spans="1:25" ht="14.25" customHeight="1">
      <c r="A44" s="92"/>
      <c r="B44" s="93"/>
      <c r="C44" s="93"/>
      <c r="D44" s="93"/>
      <c r="E44" s="93"/>
      <c r="F44" s="93"/>
      <c r="G44" s="93"/>
      <c r="H44" s="93"/>
      <c r="I44" s="93"/>
      <c r="J44" s="93"/>
      <c r="K44" s="93"/>
      <c r="L44" s="76"/>
      <c r="M44" s="93"/>
      <c r="N44" s="2"/>
      <c r="O44" s="2"/>
      <c r="P44" s="2"/>
      <c r="Q44" s="2"/>
      <c r="R44" s="2"/>
      <c r="S44" s="2"/>
      <c r="T44" s="2"/>
      <c r="U44" s="2"/>
      <c r="V44" s="2"/>
      <c r="W44" s="2"/>
      <c r="X44" s="2"/>
      <c r="Y44" s="2"/>
    </row>
    <row r="45" spans="1:25" ht="14.25" customHeight="1">
      <c r="A45" s="92"/>
      <c r="B45" s="93"/>
      <c r="C45" s="93"/>
      <c r="D45" s="93"/>
      <c r="E45" s="93"/>
      <c r="F45" s="93"/>
      <c r="G45" s="93"/>
      <c r="H45" s="93"/>
      <c r="I45" s="93"/>
      <c r="J45" s="93"/>
      <c r="K45" s="93"/>
      <c r="L45" s="76"/>
      <c r="M45" s="93"/>
      <c r="N45" s="2"/>
      <c r="O45" s="2"/>
      <c r="P45" s="2"/>
      <c r="Q45" s="2"/>
      <c r="R45" s="2"/>
      <c r="S45" s="2"/>
      <c r="T45" s="2"/>
      <c r="U45" s="2"/>
      <c r="V45" s="2"/>
      <c r="W45" s="2"/>
      <c r="X45" s="2"/>
      <c r="Y45" s="2"/>
    </row>
    <row r="46" spans="1:25" ht="14.25" customHeight="1">
      <c r="A46" s="92"/>
      <c r="B46" s="93"/>
      <c r="C46" s="93"/>
      <c r="D46" s="93"/>
      <c r="E46" s="93"/>
      <c r="F46" s="93"/>
      <c r="G46" s="93"/>
      <c r="H46" s="93"/>
      <c r="I46" s="93"/>
      <c r="J46" s="93"/>
      <c r="K46" s="93"/>
      <c r="L46" s="76"/>
      <c r="M46" s="93"/>
      <c r="N46" s="2"/>
      <c r="O46" s="2"/>
      <c r="P46" s="2"/>
      <c r="Q46" s="2"/>
      <c r="R46" s="2"/>
      <c r="S46" s="2"/>
      <c r="T46" s="2"/>
      <c r="U46" s="2"/>
      <c r="V46" s="2"/>
      <c r="W46" s="2"/>
      <c r="X46" s="2"/>
      <c r="Y46" s="2"/>
    </row>
    <row r="47" spans="1:25" ht="14.25" customHeight="1">
      <c r="A47" s="92"/>
      <c r="B47" s="93"/>
      <c r="C47" s="93"/>
      <c r="D47" s="93"/>
      <c r="E47" s="93"/>
      <c r="F47" s="93"/>
      <c r="G47" s="93"/>
      <c r="H47" s="93"/>
      <c r="I47" s="93"/>
      <c r="J47" s="93"/>
      <c r="K47" s="93"/>
      <c r="L47" s="76"/>
      <c r="M47" s="93"/>
      <c r="N47" s="2"/>
      <c r="O47" s="2"/>
      <c r="P47" s="2"/>
      <c r="Q47" s="2"/>
      <c r="R47" s="2"/>
      <c r="S47" s="2"/>
      <c r="T47" s="2"/>
      <c r="U47" s="2"/>
      <c r="V47" s="2"/>
      <c r="W47" s="2"/>
      <c r="X47" s="2"/>
      <c r="Y47" s="2"/>
    </row>
    <row r="48" spans="1:25" ht="14.25" customHeight="1">
      <c r="A48" s="92"/>
      <c r="B48" s="93"/>
      <c r="C48" s="93"/>
      <c r="D48" s="93"/>
      <c r="E48" s="93"/>
      <c r="F48" s="93"/>
      <c r="G48" s="93"/>
      <c r="H48" s="93"/>
      <c r="I48" s="93"/>
      <c r="J48" s="93"/>
      <c r="K48" s="93"/>
      <c r="L48" s="76"/>
      <c r="M48" s="93"/>
      <c r="N48" s="2"/>
      <c r="O48" s="2"/>
      <c r="P48" s="2"/>
      <c r="Q48" s="2"/>
      <c r="R48" s="2"/>
      <c r="S48" s="2"/>
      <c r="T48" s="2"/>
      <c r="U48" s="2"/>
      <c r="V48" s="2"/>
      <c r="W48" s="2"/>
      <c r="X48" s="2"/>
      <c r="Y48" s="2"/>
    </row>
    <row r="49" spans="1:25" ht="14.25" customHeight="1">
      <c r="A49" s="92"/>
      <c r="B49" s="93"/>
      <c r="C49" s="93"/>
      <c r="D49" s="93"/>
      <c r="E49" s="93"/>
      <c r="F49" s="93"/>
      <c r="G49" s="93"/>
      <c r="H49" s="93"/>
      <c r="I49" s="93"/>
      <c r="J49" s="93"/>
      <c r="K49" s="93"/>
      <c r="L49" s="76"/>
      <c r="M49" s="93"/>
      <c r="N49" s="2"/>
      <c r="O49" s="2"/>
      <c r="P49" s="2"/>
      <c r="Q49" s="2"/>
      <c r="R49" s="2"/>
      <c r="S49" s="2"/>
      <c r="T49" s="2"/>
      <c r="U49" s="2"/>
      <c r="V49" s="2"/>
      <c r="W49" s="2"/>
      <c r="X49" s="2"/>
      <c r="Y49" s="2"/>
    </row>
    <row r="50" spans="1:25" ht="14.25" customHeight="1">
      <c r="A50" s="92"/>
      <c r="B50" s="93"/>
      <c r="C50" s="93"/>
      <c r="D50" s="93"/>
      <c r="E50" s="93"/>
      <c r="F50" s="93"/>
      <c r="G50" s="93"/>
      <c r="H50" s="93"/>
      <c r="I50" s="93"/>
      <c r="J50" s="93"/>
      <c r="K50" s="93"/>
      <c r="L50" s="76"/>
      <c r="M50" s="93"/>
      <c r="N50" s="2"/>
      <c r="O50" s="2"/>
      <c r="P50" s="2"/>
      <c r="Q50" s="2"/>
      <c r="R50" s="2"/>
      <c r="S50" s="2"/>
      <c r="T50" s="2"/>
      <c r="U50" s="2"/>
      <c r="V50" s="2"/>
      <c r="W50" s="2"/>
      <c r="X50" s="2"/>
      <c r="Y50" s="2"/>
    </row>
    <row r="51" spans="1:25" ht="14.25" customHeight="1">
      <c r="A51" s="92"/>
      <c r="B51" s="93"/>
      <c r="C51" s="93"/>
      <c r="D51" s="93"/>
      <c r="E51" s="93"/>
      <c r="F51" s="93"/>
      <c r="G51" s="93"/>
      <c r="H51" s="93"/>
      <c r="I51" s="93"/>
      <c r="J51" s="93"/>
      <c r="K51" s="93"/>
      <c r="L51" s="76"/>
      <c r="M51" s="93"/>
      <c r="N51" s="2"/>
      <c r="O51" s="2"/>
      <c r="P51" s="2"/>
      <c r="Q51" s="2"/>
      <c r="R51" s="2"/>
      <c r="S51" s="2"/>
      <c r="T51" s="2"/>
      <c r="U51" s="2"/>
      <c r="V51" s="2"/>
      <c r="W51" s="2"/>
      <c r="X51" s="2"/>
      <c r="Y51" s="2"/>
    </row>
    <row r="52" spans="1:25" ht="14.25" customHeight="1">
      <c r="A52" s="92"/>
      <c r="B52" s="93"/>
      <c r="C52" s="93"/>
      <c r="D52" s="93"/>
      <c r="E52" s="93"/>
      <c r="F52" s="93"/>
      <c r="G52" s="93"/>
      <c r="H52" s="93"/>
      <c r="I52" s="93"/>
      <c r="J52" s="93"/>
      <c r="K52" s="93"/>
      <c r="L52" s="76"/>
      <c r="M52" s="93"/>
      <c r="N52" s="2"/>
      <c r="O52" s="2"/>
      <c r="P52" s="2"/>
      <c r="Q52" s="2"/>
      <c r="R52" s="2"/>
      <c r="S52" s="2"/>
      <c r="T52" s="2"/>
      <c r="U52" s="2"/>
      <c r="V52" s="2"/>
      <c r="W52" s="2"/>
      <c r="X52" s="2"/>
      <c r="Y52" s="2"/>
    </row>
    <row r="53" spans="1:25" ht="14.25" customHeight="1">
      <c r="A53" s="92"/>
      <c r="B53" s="93"/>
      <c r="C53" s="93"/>
      <c r="D53" s="93"/>
      <c r="E53" s="93"/>
      <c r="F53" s="93"/>
      <c r="G53" s="93"/>
      <c r="H53" s="93"/>
      <c r="I53" s="93"/>
      <c r="J53" s="93"/>
      <c r="K53" s="93"/>
      <c r="L53" s="76"/>
      <c r="M53" s="93"/>
      <c r="N53" s="2"/>
      <c r="O53" s="2"/>
      <c r="P53" s="2"/>
      <c r="Q53" s="2"/>
      <c r="R53" s="2"/>
      <c r="S53" s="2"/>
      <c r="T53" s="2"/>
      <c r="U53" s="2"/>
      <c r="V53" s="2"/>
      <c r="W53" s="2"/>
      <c r="X53" s="2"/>
      <c r="Y53" s="2"/>
    </row>
    <row r="54" spans="1:25" ht="14.25" customHeight="1">
      <c r="A54" s="92"/>
      <c r="B54" s="93"/>
      <c r="C54" s="93"/>
      <c r="D54" s="93"/>
      <c r="E54" s="93"/>
      <c r="F54" s="93"/>
      <c r="G54" s="93"/>
      <c r="H54" s="93"/>
      <c r="I54" s="93"/>
      <c r="J54" s="93"/>
      <c r="K54" s="93"/>
      <c r="L54" s="76"/>
      <c r="M54" s="93"/>
      <c r="N54" s="2"/>
      <c r="O54" s="2"/>
      <c r="P54" s="2"/>
      <c r="Q54" s="2"/>
      <c r="R54" s="2"/>
      <c r="S54" s="2"/>
      <c r="T54" s="2"/>
      <c r="U54" s="2"/>
      <c r="V54" s="2"/>
      <c r="W54" s="2"/>
      <c r="X54" s="2"/>
      <c r="Y54" s="2"/>
    </row>
    <row r="55" spans="1:25" ht="14.25" customHeight="1">
      <c r="A55" s="92"/>
      <c r="B55" s="93"/>
      <c r="C55" s="93"/>
      <c r="D55" s="93"/>
      <c r="E55" s="93"/>
      <c r="F55" s="93"/>
      <c r="G55" s="93"/>
      <c r="H55" s="93"/>
      <c r="I55" s="93"/>
      <c r="J55" s="93"/>
      <c r="K55" s="93"/>
      <c r="L55" s="76"/>
      <c r="M55" s="93"/>
      <c r="N55" s="2"/>
      <c r="O55" s="2"/>
      <c r="P55" s="2"/>
      <c r="Q55" s="2"/>
      <c r="R55" s="2"/>
      <c r="S55" s="2"/>
      <c r="T55" s="2"/>
      <c r="U55" s="2"/>
      <c r="V55" s="2"/>
      <c r="W55" s="2"/>
      <c r="X55" s="2"/>
      <c r="Y55" s="2"/>
    </row>
    <row r="56" spans="1:25" ht="14.25" customHeight="1">
      <c r="A56" s="92"/>
      <c r="B56" s="93"/>
      <c r="C56" s="93"/>
      <c r="D56" s="93"/>
      <c r="E56" s="93"/>
      <c r="F56" s="93"/>
      <c r="G56" s="93"/>
      <c r="H56" s="93"/>
      <c r="I56" s="93"/>
      <c r="J56" s="93"/>
      <c r="K56" s="93"/>
      <c r="L56" s="76"/>
      <c r="M56" s="93"/>
      <c r="N56" s="2"/>
      <c r="O56" s="2"/>
      <c r="P56" s="2"/>
      <c r="Q56" s="2"/>
      <c r="R56" s="2"/>
      <c r="S56" s="2"/>
      <c r="T56" s="2"/>
      <c r="U56" s="2"/>
      <c r="V56" s="2"/>
      <c r="W56" s="2"/>
      <c r="X56" s="2"/>
      <c r="Y56" s="2"/>
    </row>
    <row r="57" spans="1:25" ht="14.25" customHeight="1">
      <c r="A57" s="92"/>
      <c r="B57" s="93"/>
      <c r="C57" s="93"/>
      <c r="D57" s="93"/>
      <c r="E57" s="93"/>
      <c r="F57" s="93"/>
      <c r="G57" s="93"/>
      <c r="H57" s="93"/>
      <c r="I57" s="93"/>
      <c r="J57" s="93"/>
      <c r="K57" s="93"/>
      <c r="L57" s="76"/>
      <c r="M57" s="93"/>
      <c r="N57" s="2"/>
      <c r="O57" s="2"/>
      <c r="P57" s="2"/>
      <c r="Q57" s="2"/>
      <c r="R57" s="2"/>
      <c r="S57" s="2"/>
      <c r="T57" s="2"/>
      <c r="U57" s="2"/>
      <c r="V57" s="2"/>
      <c r="W57" s="2"/>
      <c r="X57" s="2"/>
      <c r="Y57" s="2"/>
    </row>
    <row r="58" spans="1:25" ht="14.25" customHeight="1">
      <c r="A58" s="92"/>
      <c r="B58" s="93"/>
      <c r="C58" s="93"/>
      <c r="D58" s="93"/>
      <c r="E58" s="93"/>
      <c r="F58" s="93"/>
      <c r="G58" s="93"/>
      <c r="H58" s="93"/>
      <c r="I58" s="93"/>
      <c r="J58" s="93"/>
      <c r="K58" s="93"/>
      <c r="L58" s="76"/>
      <c r="M58" s="93"/>
      <c r="N58" s="2"/>
      <c r="O58" s="2"/>
      <c r="P58" s="2"/>
      <c r="Q58" s="2"/>
      <c r="R58" s="2"/>
      <c r="S58" s="2"/>
      <c r="T58" s="2"/>
      <c r="U58" s="2"/>
      <c r="V58" s="2"/>
      <c r="W58" s="2"/>
      <c r="X58" s="2"/>
      <c r="Y58" s="2"/>
    </row>
    <row r="59" spans="1:25" ht="14.25" customHeight="1">
      <c r="A59" s="92"/>
      <c r="B59" s="93"/>
      <c r="C59" s="93"/>
      <c r="D59" s="93"/>
      <c r="E59" s="93"/>
      <c r="F59" s="93"/>
      <c r="G59" s="93"/>
      <c r="H59" s="93"/>
      <c r="I59" s="93"/>
      <c r="J59" s="93"/>
      <c r="K59" s="93"/>
      <c r="L59" s="76"/>
      <c r="M59" s="93"/>
      <c r="N59" s="2"/>
      <c r="O59" s="2"/>
      <c r="P59" s="2"/>
      <c r="Q59" s="2"/>
      <c r="R59" s="2"/>
      <c r="S59" s="2"/>
      <c r="T59" s="2"/>
      <c r="U59" s="2"/>
      <c r="V59" s="2"/>
      <c r="W59" s="2"/>
      <c r="X59" s="2"/>
      <c r="Y59" s="2"/>
    </row>
    <row r="60" spans="1:25" ht="14.25" customHeight="1">
      <c r="A60" s="92"/>
      <c r="B60" s="93"/>
      <c r="C60" s="93"/>
      <c r="D60" s="93"/>
      <c r="E60" s="93"/>
      <c r="F60" s="93"/>
      <c r="G60" s="93"/>
      <c r="H60" s="93"/>
      <c r="I60" s="93"/>
      <c r="J60" s="93"/>
      <c r="K60" s="93"/>
      <c r="L60" s="76"/>
      <c r="M60" s="93"/>
      <c r="N60" s="2"/>
      <c r="O60" s="2"/>
      <c r="P60" s="2"/>
      <c r="Q60" s="2"/>
      <c r="R60" s="2"/>
      <c r="S60" s="2"/>
      <c r="T60" s="2"/>
      <c r="U60" s="2"/>
      <c r="V60" s="2"/>
      <c r="W60" s="2"/>
      <c r="X60" s="2"/>
      <c r="Y60" s="2"/>
    </row>
    <row r="61" spans="1:25" ht="14.25" customHeight="1">
      <c r="A61" s="92"/>
      <c r="B61" s="93"/>
      <c r="C61" s="93"/>
      <c r="D61" s="93"/>
      <c r="E61" s="93"/>
      <c r="F61" s="93"/>
      <c r="G61" s="93"/>
      <c r="H61" s="93"/>
      <c r="I61" s="93"/>
      <c r="J61" s="93"/>
      <c r="K61" s="93"/>
      <c r="L61" s="76"/>
      <c r="M61" s="93"/>
      <c r="N61" s="2"/>
      <c r="O61" s="2"/>
      <c r="P61" s="2"/>
      <c r="Q61" s="2"/>
      <c r="R61" s="2"/>
      <c r="S61" s="2"/>
      <c r="T61" s="2"/>
      <c r="U61" s="2"/>
      <c r="V61" s="2"/>
      <c r="W61" s="2"/>
      <c r="X61" s="2"/>
      <c r="Y61" s="2"/>
    </row>
    <row r="62" spans="1:25" ht="14.25" customHeight="1">
      <c r="A62" s="92"/>
      <c r="B62" s="93"/>
      <c r="C62" s="93"/>
      <c r="D62" s="93"/>
      <c r="E62" s="93"/>
      <c r="F62" s="93"/>
      <c r="G62" s="93"/>
      <c r="H62" s="93"/>
      <c r="I62" s="93"/>
      <c r="J62" s="93"/>
      <c r="K62" s="93"/>
      <c r="L62" s="76"/>
      <c r="M62" s="93"/>
      <c r="N62" s="2"/>
      <c r="O62" s="2"/>
      <c r="P62" s="2"/>
      <c r="Q62" s="2"/>
      <c r="R62" s="2"/>
      <c r="S62" s="2"/>
      <c r="T62" s="2"/>
      <c r="U62" s="2"/>
      <c r="V62" s="2"/>
      <c r="W62" s="2"/>
      <c r="X62" s="2"/>
      <c r="Y62" s="2"/>
    </row>
    <row r="63" spans="1:25" ht="14.25" customHeight="1">
      <c r="A63" s="92"/>
      <c r="B63" s="93"/>
      <c r="C63" s="93"/>
      <c r="D63" s="93"/>
      <c r="E63" s="93"/>
      <c r="F63" s="93"/>
      <c r="G63" s="93"/>
      <c r="H63" s="93"/>
      <c r="I63" s="93"/>
      <c r="J63" s="93"/>
      <c r="K63" s="93"/>
      <c r="L63" s="76"/>
      <c r="M63" s="93"/>
      <c r="N63" s="2"/>
      <c r="O63" s="2"/>
      <c r="P63" s="2"/>
      <c r="Q63" s="2"/>
      <c r="R63" s="2"/>
      <c r="S63" s="2"/>
      <c r="T63" s="2"/>
      <c r="U63" s="2"/>
      <c r="V63" s="2"/>
      <c r="W63" s="2"/>
      <c r="X63" s="2"/>
      <c r="Y63" s="2"/>
    </row>
    <row r="64" spans="1:25" ht="14.25" customHeight="1">
      <c r="A64" s="92"/>
      <c r="B64" s="93"/>
      <c r="C64" s="93"/>
      <c r="D64" s="93"/>
      <c r="E64" s="93"/>
      <c r="F64" s="93"/>
      <c r="G64" s="93"/>
      <c r="H64" s="93"/>
      <c r="I64" s="93"/>
      <c r="J64" s="93"/>
      <c r="K64" s="93"/>
      <c r="L64" s="76"/>
      <c r="M64" s="93"/>
      <c r="N64" s="2"/>
      <c r="O64" s="2"/>
      <c r="P64" s="2"/>
      <c r="Q64" s="2"/>
      <c r="R64" s="2"/>
      <c r="S64" s="2"/>
      <c r="T64" s="2"/>
      <c r="U64" s="2"/>
      <c r="V64" s="2"/>
      <c r="W64" s="2"/>
      <c r="X64" s="2"/>
      <c r="Y64" s="2"/>
    </row>
    <row r="65" spans="1:25" ht="14.25" customHeight="1">
      <c r="A65" s="92"/>
      <c r="B65" s="93"/>
      <c r="C65" s="93"/>
      <c r="D65" s="93"/>
      <c r="E65" s="93"/>
      <c r="F65" s="93"/>
      <c r="G65" s="93"/>
      <c r="H65" s="93"/>
      <c r="I65" s="93"/>
      <c r="J65" s="93"/>
      <c r="K65" s="93"/>
      <c r="L65" s="76"/>
      <c r="M65" s="93"/>
      <c r="N65" s="2"/>
      <c r="O65" s="2"/>
      <c r="P65" s="2"/>
      <c r="Q65" s="2"/>
      <c r="R65" s="2"/>
      <c r="S65" s="2"/>
      <c r="T65" s="2"/>
      <c r="U65" s="2"/>
      <c r="V65" s="2"/>
      <c r="W65" s="2"/>
      <c r="X65" s="2"/>
      <c r="Y65" s="2"/>
    </row>
    <row r="66" spans="1:25" ht="14.25" customHeight="1">
      <c r="A66" s="92"/>
      <c r="B66" s="93"/>
      <c r="C66" s="93"/>
      <c r="D66" s="93"/>
      <c r="E66" s="93"/>
      <c r="F66" s="93"/>
      <c r="G66" s="93"/>
      <c r="H66" s="93"/>
      <c r="I66" s="93"/>
      <c r="J66" s="93"/>
      <c r="K66" s="93"/>
      <c r="L66" s="76"/>
      <c r="M66" s="93"/>
      <c r="N66" s="2"/>
      <c r="O66" s="2"/>
      <c r="P66" s="2"/>
      <c r="Q66" s="2"/>
      <c r="R66" s="2"/>
      <c r="S66" s="2"/>
      <c r="T66" s="2"/>
      <c r="U66" s="2"/>
      <c r="V66" s="2"/>
      <c r="W66" s="2"/>
      <c r="X66" s="2"/>
      <c r="Y66" s="2"/>
    </row>
    <row r="67" spans="1:25" ht="14.25" customHeight="1">
      <c r="A67" s="92"/>
      <c r="B67" s="93"/>
      <c r="C67" s="93"/>
      <c r="D67" s="93"/>
      <c r="E67" s="93"/>
      <c r="F67" s="93"/>
      <c r="G67" s="93"/>
      <c r="H67" s="93"/>
      <c r="I67" s="93"/>
      <c r="J67" s="93"/>
      <c r="K67" s="93"/>
      <c r="L67" s="76"/>
      <c r="M67" s="93"/>
      <c r="N67" s="2"/>
      <c r="O67" s="2"/>
      <c r="P67" s="2"/>
      <c r="Q67" s="2"/>
      <c r="R67" s="2"/>
      <c r="S67" s="2"/>
      <c r="T67" s="2"/>
      <c r="U67" s="2"/>
      <c r="V67" s="2"/>
      <c r="W67" s="2"/>
      <c r="X67" s="2"/>
      <c r="Y67" s="2"/>
    </row>
    <row r="68" spans="1:25" ht="14.25" customHeight="1">
      <c r="A68" s="92"/>
      <c r="B68" s="93"/>
      <c r="C68" s="93"/>
      <c r="D68" s="93"/>
      <c r="E68" s="93"/>
      <c r="F68" s="93"/>
      <c r="G68" s="93"/>
      <c r="H68" s="93"/>
      <c r="I68" s="93"/>
      <c r="J68" s="93"/>
      <c r="K68" s="93"/>
      <c r="L68" s="76"/>
      <c r="M68" s="93"/>
      <c r="N68" s="2"/>
      <c r="O68" s="2"/>
      <c r="P68" s="2"/>
      <c r="Q68" s="2"/>
      <c r="R68" s="2"/>
      <c r="S68" s="2"/>
      <c r="T68" s="2"/>
      <c r="U68" s="2"/>
      <c r="V68" s="2"/>
      <c r="W68" s="2"/>
      <c r="X68" s="2"/>
      <c r="Y68" s="2"/>
    </row>
    <row r="69" spans="1:25" ht="14.25" customHeight="1">
      <c r="A69" s="92"/>
      <c r="B69" s="93"/>
      <c r="C69" s="93"/>
      <c r="D69" s="93"/>
      <c r="E69" s="93"/>
      <c r="F69" s="93"/>
      <c r="G69" s="93"/>
      <c r="H69" s="93"/>
      <c r="I69" s="93"/>
      <c r="J69" s="93"/>
      <c r="K69" s="93"/>
      <c r="L69" s="76"/>
      <c r="M69" s="93"/>
      <c r="N69" s="2"/>
      <c r="O69" s="2"/>
      <c r="P69" s="2"/>
      <c r="Q69" s="2"/>
      <c r="R69" s="2"/>
      <c r="S69" s="2"/>
      <c r="T69" s="2"/>
      <c r="U69" s="2"/>
      <c r="V69" s="2"/>
      <c r="W69" s="2"/>
      <c r="X69" s="2"/>
      <c r="Y69" s="2"/>
    </row>
    <row r="70" spans="1:25" ht="14.25" customHeight="1">
      <c r="A70" s="92"/>
      <c r="B70" s="93"/>
      <c r="C70" s="93"/>
      <c r="D70" s="93"/>
      <c r="E70" s="93"/>
      <c r="F70" s="93"/>
      <c r="G70" s="93"/>
      <c r="H70" s="93"/>
      <c r="I70" s="93"/>
      <c r="J70" s="93"/>
      <c r="K70" s="93"/>
      <c r="L70" s="76"/>
      <c r="M70" s="93"/>
      <c r="N70" s="2"/>
      <c r="O70" s="2"/>
      <c r="P70" s="2"/>
      <c r="Q70" s="2"/>
      <c r="R70" s="2"/>
      <c r="S70" s="2"/>
      <c r="T70" s="2"/>
      <c r="U70" s="2"/>
      <c r="V70" s="2"/>
      <c r="W70" s="2"/>
      <c r="X70" s="2"/>
      <c r="Y70" s="2"/>
    </row>
    <row r="71" spans="1:25" ht="14.25" customHeight="1">
      <c r="A71" s="92"/>
      <c r="B71" s="93"/>
      <c r="C71" s="93"/>
      <c r="D71" s="93"/>
      <c r="E71" s="93"/>
      <c r="F71" s="93"/>
      <c r="G71" s="93"/>
      <c r="H71" s="93"/>
      <c r="I71" s="93"/>
      <c r="J71" s="93"/>
      <c r="K71" s="93"/>
      <c r="L71" s="76"/>
      <c r="M71" s="93"/>
      <c r="N71" s="2"/>
      <c r="O71" s="2"/>
      <c r="P71" s="2"/>
      <c r="Q71" s="2"/>
      <c r="R71" s="2"/>
      <c r="S71" s="2"/>
      <c r="T71" s="2"/>
      <c r="U71" s="2"/>
      <c r="V71" s="2"/>
      <c r="W71" s="2"/>
      <c r="X71" s="2"/>
      <c r="Y71" s="2"/>
    </row>
    <row r="72" spans="1:25" ht="14.25" customHeight="1">
      <c r="A72" s="92"/>
      <c r="B72" s="93"/>
      <c r="C72" s="93"/>
      <c r="D72" s="93"/>
      <c r="E72" s="93"/>
      <c r="F72" s="93"/>
      <c r="G72" s="93"/>
      <c r="H72" s="93"/>
      <c r="I72" s="93"/>
      <c r="J72" s="93"/>
      <c r="K72" s="93"/>
      <c r="L72" s="76"/>
      <c r="M72" s="93"/>
      <c r="N72" s="2"/>
      <c r="O72" s="2"/>
      <c r="P72" s="2"/>
      <c r="Q72" s="2"/>
      <c r="R72" s="2"/>
      <c r="S72" s="2"/>
      <c r="T72" s="2"/>
      <c r="U72" s="2"/>
      <c r="V72" s="2"/>
      <c r="W72" s="2"/>
      <c r="X72" s="2"/>
      <c r="Y72" s="2"/>
    </row>
    <row r="73" spans="1:25" ht="14.25" customHeight="1">
      <c r="A73" s="92"/>
      <c r="B73" s="93"/>
      <c r="C73" s="93"/>
      <c r="D73" s="93"/>
      <c r="E73" s="93"/>
      <c r="F73" s="93"/>
      <c r="G73" s="93"/>
      <c r="H73" s="93"/>
      <c r="I73" s="93"/>
      <c r="J73" s="93"/>
      <c r="K73" s="93"/>
      <c r="L73" s="76"/>
      <c r="M73" s="93"/>
      <c r="N73" s="2"/>
      <c r="O73" s="2"/>
      <c r="P73" s="2"/>
      <c r="Q73" s="2"/>
      <c r="R73" s="2"/>
      <c r="S73" s="2"/>
      <c r="T73" s="2"/>
      <c r="U73" s="2"/>
      <c r="V73" s="2"/>
      <c r="W73" s="2"/>
      <c r="X73" s="2"/>
      <c r="Y73" s="2"/>
    </row>
    <row r="74" spans="1:25" ht="14.25" customHeight="1">
      <c r="A74" s="92"/>
      <c r="B74" s="93"/>
      <c r="C74" s="93"/>
      <c r="D74" s="93"/>
      <c r="E74" s="93"/>
      <c r="F74" s="93"/>
      <c r="G74" s="93"/>
      <c r="H74" s="93"/>
      <c r="I74" s="93"/>
      <c r="J74" s="93"/>
      <c r="K74" s="93"/>
      <c r="L74" s="76"/>
      <c r="M74" s="93"/>
      <c r="N74" s="2"/>
      <c r="O74" s="2"/>
      <c r="P74" s="2"/>
      <c r="Q74" s="2"/>
      <c r="R74" s="2"/>
      <c r="S74" s="2"/>
      <c r="T74" s="2"/>
      <c r="U74" s="2"/>
      <c r="V74" s="2"/>
      <c r="W74" s="2"/>
      <c r="X74" s="2"/>
      <c r="Y74" s="2"/>
    </row>
    <row r="75" spans="1:25" ht="14.25" customHeight="1">
      <c r="A75" s="92"/>
      <c r="B75" s="93"/>
      <c r="C75" s="93"/>
      <c r="D75" s="93"/>
      <c r="E75" s="93"/>
      <c r="F75" s="93"/>
      <c r="G75" s="93"/>
      <c r="H75" s="93"/>
      <c r="I75" s="93"/>
      <c r="J75" s="93"/>
      <c r="K75" s="93"/>
      <c r="L75" s="76"/>
      <c r="M75" s="93"/>
      <c r="N75" s="2"/>
      <c r="O75" s="2"/>
      <c r="P75" s="2"/>
      <c r="Q75" s="2"/>
      <c r="R75" s="2"/>
      <c r="S75" s="2"/>
      <c r="T75" s="2"/>
      <c r="U75" s="2"/>
      <c r="V75" s="2"/>
      <c r="W75" s="2"/>
      <c r="X75" s="2"/>
      <c r="Y75" s="2"/>
    </row>
    <row r="76" spans="1:25" ht="14.25" customHeight="1">
      <c r="A76" s="76"/>
      <c r="B76" s="76"/>
      <c r="C76" s="76"/>
      <c r="D76" s="76"/>
      <c r="E76" s="76"/>
      <c r="F76" s="76"/>
      <c r="G76" s="76"/>
      <c r="H76" s="76"/>
      <c r="I76" s="76"/>
      <c r="J76" s="76"/>
      <c r="K76" s="76"/>
      <c r="L76" s="76"/>
      <c r="M76" s="93"/>
      <c r="N76" s="2"/>
      <c r="O76" s="2"/>
      <c r="P76" s="2"/>
      <c r="Q76" s="2"/>
      <c r="R76" s="2"/>
      <c r="S76" s="2"/>
      <c r="T76" s="2"/>
      <c r="U76" s="2"/>
      <c r="V76" s="2"/>
      <c r="W76" s="2"/>
      <c r="X76" s="2"/>
      <c r="Y76" s="2"/>
    </row>
    <row r="77" spans="1:25" ht="14.25" customHeight="1">
      <c r="A77" s="76"/>
      <c r="B77" s="76"/>
      <c r="C77" s="76"/>
      <c r="D77" s="76"/>
      <c r="E77" s="76"/>
      <c r="F77" s="76"/>
      <c r="G77" s="76"/>
      <c r="H77" s="76"/>
      <c r="I77" s="76"/>
      <c r="J77" s="76"/>
      <c r="K77" s="76"/>
      <c r="L77" s="76"/>
      <c r="M77" s="93"/>
      <c r="N77" s="2"/>
      <c r="O77" s="2"/>
      <c r="P77" s="2"/>
      <c r="Q77" s="2"/>
      <c r="R77" s="2"/>
      <c r="S77" s="2"/>
      <c r="T77" s="2"/>
      <c r="U77" s="2"/>
      <c r="V77" s="2"/>
      <c r="W77" s="2"/>
      <c r="X77" s="2"/>
      <c r="Y77" s="2"/>
    </row>
    <row r="78" spans="1:25" ht="14.25" customHeight="1">
      <c r="A78" s="93"/>
      <c r="B78" s="93"/>
      <c r="C78" s="93"/>
      <c r="D78" s="93"/>
      <c r="E78" s="93"/>
      <c r="F78" s="93"/>
      <c r="G78" s="93"/>
      <c r="H78" s="93"/>
      <c r="I78" s="93"/>
      <c r="J78" s="93"/>
      <c r="K78" s="93"/>
      <c r="L78" s="93"/>
      <c r="M78" s="93"/>
      <c r="N78" s="2"/>
      <c r="O78" s="2"/>
      <c r="P78" s="2"/>
      <c r="Q78" s="2"/>
      <c r="R78" s="2"/>
      <c r="S78" s="2"/>
      <c r="T78" s="2"/>
      <c r="U78" s="2"/>
      <c r="V78" s="2"/>
      <c r="W78" s="2"/>
      <c r="X78" s="2"/>
      <c r="Y78" s="2"/>
    </row>
    <row r="79" spans="1:25" ht="14.25" customHeight="1">
      <c r="A79" s="2"/>
      <c r="B79" s="2"/>
      <c r="C79" s="2"/>
      <c r="D79" s="2"/>
      <c r="E79" s="2"/>
      <c r="F79" s="2"/>
      <c r="G79" s="2"/>
      <c r="H79" s="2"/>
      <c r="I79" s="2"/>
      <c r="J79" s="2"/>
      <c r="K79" s="2"/>
      <c r="L79" s="2"/>
      <c r="M79" s="2"/>
      <c r="N79" s="2"/>
      <c r="O79" s="2"/>
      <c r="P79" s="2"/>
      <c r="Q79" s="2"/>
      <c r="R79" s="2"/>
      <c r="S79" s="2"/>
      <c r="T79" s="2"/>
      <c r="U79" s="2"/>
      <c r="V79" s="2"/>
      <c r="W79" s="2"/>
      <c r="X79" s="2"/>
      <c r="Y79" s="2"/>
    </row>
    <row r="80" spans="1:25" ht="14.25" customHeight="1">
      <c r="A80" s="2"/>
      <c r="B80" s="2"/>
      <c r="C80" s="2"/>
      <c r="D80" s="2"/>
      <c r="E80" s="2"/>
      <c r="F80" s="2"/>
      <c r="G80" s="2"/>
      <c r="H80" s="2"/>
      <c r="I80" s="2"/>
      <c r="J80" s="2"/>
      <c r="K80" s="2"/>
      <c r="L80" s="2"/>
      <c r="M80" s="2"/>
      <c r="N80" s="2"/>
      <c r="O80" s="2"/>
      <c r="P80" s="2"/>
      <c r="Q80" s="2"/>
      <c r="R80" s="2"/>
      <c r="S80" s="2"/>
      <c r="T80" s="2"/>
      <c r="U80" s="2"/>
      <c r="V80" s="2"/>
      <c r="W80" s="2"/>
      <c r="X80" s="2"/>
      <c r="Y80" s="2"/>
    </row>
    <row r="81" spans="1:25" ht="14.25" customHeight="1">
      <c r="A81" s="2"/>
      <c r="B81" s="2"/>
      <c r="C81" s="2"/>
      <c r="D81" s="2"/>
      <c r="E81" s="2"/>
      <c r="F81" s="2"/>
      <c r="G81" s="2"/>
      <c r="H81" s="2"/>
      <c r="I81" s="2"/>
      <c r="J81" s="2"/>
      <c r="K81" s="2"/>
      <c r="L81" s="2"/>
      <c r="M81" s="2"/>
      <c r="N81" s="2"/>
      <c r="O81" s="2"/>
      <c r="P81" s="2"/>
      <c r="Q81" s="2"/>
      <c r="R81" s="2"/>
      <c r="S81" s="2"/>
      <c r="T81" s="2"/>
      <c r="U81" s="2"/>
      <c r="V81" s="2"/>
      <c r="W81" s="2"/>
      <c r="X81" s="2"/>
      <c r="Y81" s="2"/>
    </row>
    <row r="82" spans="1:25" ht="14.25" customHeight="1">
      <c r="A82" s="2"/>
      <c r="B82" s="2"/>
      <c r="C82" s="2"/>
      <c r="D82" s="2"/>
      <c r="E82" s="2"/>
      <c r="F82" s="2"/>
      <c r="G82" s="2"/>
      <c r="H82" s="2"/>
      <c r="I82" s="2"/>
      <c r="J82" s="2"/>
      <c r="K82" s="2"/>
      <c r="L82" s="2"/>
      <c r="M82" s="2"/>
      <c r="N82" s="2"/>
      <c r="O82" s="2"/>
      <c r="P82" s="2"/>
      <c r="Q82" s="2"/>
      <c r="R82" s="2"/>
      <c r="S82" s="2"/>
      <c r="T82" s="2"/>
      <c r="U82" s="2"/>
      <c r="V82" s="2"/>
      <c r="W82" s="2"/>
      <c r="X82" s="2"/>
      <c r="Y82" s="2"/>
    </row>
    <row r="83" spans="1:25" ht="14.25" customHeight="1">
      <c r="A83" s="2"/>
      <c r="B83" s="2"/>
      <c r="C83" s="2"/>
      <c r="D83" s="2"/>
      <c r="E83" s="2"/>
      <c r="F83" s="2"/>
      <c r="G83" s="2"/>
      <c r="H83" s="2"/>
      <c r="I83" s="2"/>
      <c r="J83" s="2"/>
      <c r="K83" s="2"/>
      <c r="L83" s="2"/>
      <c r="M83" s="2"/>
      <c r="N83" s="2"/>
      <c r="O83" s="2"/>
      <c r="P83" s="2"/>
      <c r="Q83" s="2"/>
      <c r="R83" s="2"/>
      <c r="S83" s="2"/>
      <c r="T83" s="2"/>
      <c r="U83" s="2"/>
      <c r="V83" s="2"/>
      <c r="W83" s="2"/>
      <c r="X83" s="2"/>
      <c r="Y83" s="2"/>
    </row>
    <row r="84" spans="1:25" ht="14.25" customHeight="1">
      <c r="A84" s="2"/>
      <c r="B84" s="2"/>
      <c r="C84" s="2"/>
      <c r="D84" s="2"/>
      <c r="E84" s="2"/>
      <c r="F84" s="2"/>
      <c r="G84" s="2"/>
      <c r="H84" s="2"/>
      <c r="I84" s="2"/>
      <c r="J84" s="2"/>
      <c r="K84" s="2"/>
      <c r="L84" s="2"/>
      <c r="M84" s="2"/>
      <c r="N84" s="2"/>
      <c r="O84" s="2"/>
      <c r="P84" s="2"/>
      <c r="Q84" s="2"/>
      <c r="R84" s="2"/>
      <c r="S84" s="2"/>
      <c r="T84" s="2"/>
      <c r="U84" s="2"/>
      <c r="V84" s="2"/>
      <c r="W84" s="2"/>
      <c r="X84" s="2"/>
      <c r="Y84" s="2"/>
    </row>
    <row r="85" spans="1:25" ht="14.25" customHeight="1">
      <c r="A85" s="2"/>
      <c r="B85" s="2"/>
      <c r="C85" s="2"/>
      <c r="D85" s="2"/>
      <c r="E85" s="2"/>
      <c r="F85" s="2"/>
      <c r="G85" s="2"/>
      <c r="H85" s="2"/>
      <c r="I85" s="2"/>
      <c r="J85" s="2"/>
      <c r="K85" s="2"/>
      <c r="L85" s="2"/>
      <c r="M85" s="2"/>
      <c r="N85" s="2"/>
      <c r="O85" s="2"/>
      <c r="P85" s="2"/>
      <c r="Q85" s="2"/>
      <c r="R85" s="2"/>
      <c r="S85" s="2"/>
      <c r="T85" s="2"/>
      <c r="U85" s="2"/>
      <c r="V85" s="2"/>
      <c r="W85" s="2"/>
      <c r="X85" s="2"/>
      <c r="Y85" s="2"/>
    </row>
    <row r="86" spans="1:25" ht="14.25" customHeight="1">
      <c r="A86" s="2"/>
      <c r="B86" s="2"/>
      <c r="C86" s="2"/>
      <c r="D86" s="2"/>
      <c r="E86" s="2"/>
      <c r="F86" s="2"/>
      <c r="G86" s="2"/>
      <c r="H86" s="2"/>
      <c r="I86" s="2"/>
      <c r="J86" s="2"/>
      <c r="K86" s="2"/>
      <c r="L86" s="2"/>
      <c r="M86" s="2"/>
      <c r="N86" s="2"/>
      <c r="O86" s="2"/>
      <c r="P86" s="2"/>
      <c r="Q86" s="2"/>
      <c r="R86" s="2"/>
      <c r="S86" s="2"/>
      <c r="T86" s="2"/>
      <c r="U86" s="2"/>
      <c r="V86" s="2"/>
      <c r="W86" s="2"/>
      <c r="X86" s="2"/>
      <c r="Y86" s="2"/>
    </row>
    <row r="87" spans="1:25" ht="14.25" customHeight="1">
      <c r="A87" s="2"/>
      <c r="B87" s="2"/>
      <c r="C87" s="2"/>
      <c r="D87" s="2"/>
      <c r="E87" s="2"/>
      <c r="F87" s="2"/>
      <c r="G87" s="2"/>
      <c r="H87" s="2"/>
      <c r="I87" s="2"/>
      <c r="J87" s="2"/>
      <c r="K87" s="2"/>
      <c r="L87" s="2"/>
      <c r="M87" s="2"/>
      <c r="N87" s="2"/>
      <c r="O87" s="2"/>
      <c r="P87" s="2"/>
      <c r="Q87" s="2"/>
      <c r="R87" s="2"/>
      <c r="S87" s="2"/>
      <c r="T87" s="2"/>
      <c r="U87" s="2"/>
      <c r="V87" s="2"/>
      <c r="W87" s="2"/>
      <c r="X87" s="2"/>
      <c r="Y87" s="2"/>
    </row>
    <row r="88" spans="1:25" ht="14.25" customHeight="1">
      <c r="A88" s="2"/>
      <c r="B88" s="2"/>
      <c r="C88" s="2"/>
      <c r="D88" s="2"/>
      <c r="E88" s="2"/>
      <c r="F88" s="2"/>
      <c r="G88" s="2"/>
      <c r="H88" s="2"/>
      <c r="I88" s="2"/>
      <c r="J88" s="2"/>
      <c r="K88" s="2"/>
      <c r="L88" s="2"/>
      <c r="M88" s="2"/>
      <c r="N88" s="2"/>
      <c r="O88" s="2"/>
      <c r="P88" s="2"/>
      <c r="Q88" s="2"/>
      <c r="R88" s="2"/>
      <c r="S88" s="2"/>
      <c r="T88" s="2"/>
      <c r="U88" s="2"/>
      <c r="V88" s="2"/>
      <c r="W88" s="2"/>
      <c r="X88" s="2"/>
      <c r="Y88" s="2"/>
    </row>
    <row r="89" spans="1:25" ht="14.25" customHeight="1">
      <c r="A89" s="2"/>
      <c r="B89" s="2"/>
      <c r="C89" s="2"/>
      <c r="D89" s="2"/>
      <c r="E89" s="2"/>
      <c r="F89" s="2"/>
      <c r="G89" s="2"/>
      <c r="H89" s="2"/>
      <c r="I89" s="2"/>
      <c r="J89" s="2"/>
      <c r="K89" s="2"/>
      <c r="L89" s="2"/>
      <c r="M89" s="2"/>
      <c r="N89" s="2"/>
      <c r="O89" s="2"/>
      <c r="P89" s="2"/>
      <c r="Q89" s="2"/>
      <c r="R89" s="2"/>
      <c r="S89" s="2"/>
      <c r="T89" s="2"/>
      <c r="U89" s="2"/>
      <c r="V89" s="2"/>
      <c r="W89" s="2"/>
      <c r="X89" s="2"/>
      <c r="Y89" s="2"/>
    </row>
    <row r="90" spans="1:25" ht="14.25" customHeight="1">
      <c r="A90" s="2"/>
      <c r="B90" s="2"/>
      <c r="C90" s="2"/>
      <c r="D90" s="2"/>
      <c r="E90" s="2"/>
      <c r="F90" s="2"/>
      <c r="G90" s="2"/>
      <c r="H90" s="2"/>
      <c r="I90" s="2"/>
      <c r="J90" s="2"/>
      <c r="K90" s="2"/>
      <c r="L90" s="2"/>
      <c r="M90" s="2"/>
      <c r="N90" s="2"/>
      <c r="O90" s="2"/>
      <c r="P90" s="2"/>
      <c r="Q90" s="2"/>
      <c r="R90" s="2"/>
      <c r="S90" s="2"/>
      <c r="T90" s="2"/>
      <c r="U90" s="2"/>
      <c r="V90" s="2"/>
      <c r="W90" s="2"/>
      <c r="X90" s="2"/>
      <c r="Y90" s="2"/>
    </row>
    <row r="91" spans="1:25" ht="14.25" customHeight="1">
      <c r="A91" s="2"/>
      <c r="B91" s="2"/>
      <c r="C91" s="2"/>
      <c r="D91" s="2"/>
      <c r="E91" s="2"/>
      <c r="F91" s="2"/>
      <c r="G91" s="2"/>
      <c r="H91" s="2"/>
      <c r="I91" s="2"/>
      <c r="J91" s="2"/>
      <c r="K91" s="2"/>
      <c r="L91" s="2"/>
      <c r="M91" s="2"/>
      <c r="N91" s="2"/>
      <c r="O91" s="2"/>
      <c r="P91" s="2"/>
      <c r="Q91" s="2"/>
      <c r="R91" s="2"/>
      <c r="S91" s="2"/>
      <c r="T91" s="2"/>
      <c r="U91" s="2"/>
      <c r="V91" s="2"/>
      <c r="W91" s="2"/>
      <c r="X91" s="2"/>
      <c r="Y91" s="2"/>
    </row>
    <row r="92" spans="1:25" ht="14.25" customHeight="1">
      <c r="A92" s="2"/>
      <c r="B92" s="2"/>
      <c r="C92" s="2"/>
      <c r="D92" s="2"/>
      <c r="E92" s="2"/>
      <c r="F92" s="2"/>
      <c r="G92" s="2"/>
      <c r="H92" s="2"/>
      <c r="I92" s="2"/>
      <c r="J92" s="2"/>
      <c r="K92" s="2"/>
      <c r="L92" s="2"/>
      <c r="M92" s="2"/>
      <c r="N92" s="2"/>
      <c r="O92" s="2"/>
      <c r="P92" s="2"/>
      <c r="Q92" s="2"/>
      <c r="R92" s="2"/>
      <c r="S92" s="2"/>
      <c r="T92" s="2"/>
      <c r="U92" s="2"/>
      <c r="V92" s="2"/>
      <c r="W92" s="2"/>
      <c r="X92" s="2"/>
      <c r="Y92" s="2"/>
    </row>
    <row r="93" spans="1:25" ht="14.25" customHeight="1">
      <c r="A93" s="2"/>
      <c r="B93" s="2"/>
      <c r="C93" s="2"/>
      <c r="D93" s="2"/>
      <c r="E93" s="2"/>
      <c r="F93" s="2"/>
      <c r="G93" s="2"/>
      <c r="H93" s="2"/>
      <c r="I93" s="2"/>
      <c r="J93" s="2"/>
      <c r="K93" s="2"/>
      <c r="L93" s="2"/>
      <c r="M93" s="2"/>
      <c r="N93" s="2"/>
      <c r="O93" s="2"/>
      <c r="P93" s="2"/>
      <c r="Q93" s="2"/>
      <c r="R93" s="2"/>
      <c r="S93" s="2"/>
      <c r="T93" s="2"/>
      <c r="U93" s="2"/>
      <c r="V93" s="2"/>
      <c r="W93" s="2"/>
      <c r="X93" s="2"/>
      <c r="Y93" s="2"/>
    </row>
    <row r="94" spans="1:25" ht="14.25" customHeight="1">
      <c r="A94" s="2"/>
      <c r="B94" s="2"/>
      <c r="C94" s="2"/>
      <c r="D94" s="2"/>
      <c r="E94" s="2"/>
      <c r="F94" s="2"/>
      <c r="G94" s="2"/>
      <c r="H94" s="2"/>
      <c r="I94" s="2"/>
      <c r="J94" s="2"/>
      <c r="K94" s="2"/>
      <c r="L94" s="2"/>
      <c r="M94" s="2"/>
      <c r="N94" s="2"/>
      <c r="O94" s="2"/>
      <c r="P94" s="2"/>
      <c r="Q94" s="2"/>
      <c r="R94" s="2"/>
      <c r="S94" s="2"/>
      <c r="T94" s="2"/>
      <c r="U94" s="2"/>
      <c r="V94" s="2"/>
      <c r="W94" s="2"/>
      <c r="X94" s="2"/>
      <c r="Y94" s="2"/>
    </row>
    <row r="95" spans="1:25" ht="14.25" customHeight="1">
      <c r="A95" s="2"/>
      <c r="B95" s="2"/>
      <c r="C95" s="2"/>
      <c r="D95" s="2"/>
      <c r="E95" s="2"/>
      <c r="F95" s="2"/>
      <c r="G95" s="2"/>
      <c r="H95" s="2"/>
      <c r="I95" s="2"/>
      <c r="J95" s="2"/>
      <c r="K95" s="2"/>
      <c r="L95" s="2"/>
      <c r="M95" s="2"/>
      <c r="N95" s="2"/>
      <c r="O95" s="2"/>
      <c r="P95" s="2"/>
      <c r="Q95" s="2"/>
      <c r="R95" s="2"/>
      <c r="S95" s="2"/>
      <c r="T95" s="2"/>
      <c r="U95" s="2"/>
      <c r="V95" s="2"/>
      <c r="W95" s="2"/>
      <c r="X95" s="2"/>
      <c r="Y95" s="2"/>
    </row>
    <row r="96" spans="1:25" ht="14.25" customHeight="1">
      <c r="A96" s="2"/>
      <c r="B96" s="2"/>
      <c r="C96" s="2"/>
      <c r="D96" s="2"/>
      <c r="E96" s="2"/>
      <c r="F96" s="2"/>
      <c r="G96" s="2"/>
      <c r="H96" s="2"/>
      <c r="I96" s="2"/>
      <c r="J96" s="2"/>
      <c r="K96" s="2"/>
      <c r="L96" s="2"/>
      <c r="M96" s="2"/>
      <c r="N96" s="2"/>
      <c r="O96" s="2"/>
      <c r="P96" s="2"/>
      <c r="Q96" s="2"/>
      <c r="R96" s="2"/>
      <c r="S96" s="2"/>
      <c r="T96" s="2"/>
      <c r="U96" s="2"/>
      <c r="V96" s="2"/>
      <c r="W96" s="2"/>
      <c r="X96" s="2"/>
      <c r="Y96" s="2"/>
    </row>
    <row r="97" spans="1:25" ht="14.25" customHeight="1">
      <c r="A97" s="2"/>
      <c r="B97" s="2"/>
      <c r="C97" s="2"/>
      <c r="D97" s="2"/>
      <c r="E97" s="2"/>
      <c r="F97" s="2"/>
      <c r="G97" s="2"/>
      <c r="H97" s="2"/>
      <c r="I97" s="2"/>
      <c r="J97" s="2"/>
      <c r="K97" s="2"/>
      <c r="L97" s="2"/>
      <c r="M97" s="2"/>
      <c r="N97" s="2"/>
      <c r="O97" s="2"/>
      <c r="P97" s="2"/>
      <c r="Q97" s="2"/>
      <c r="R97" s="2"/>
      <c r="S97" s="2"/>
      <c r="T97" s="2"/>
      <c r="U97" s="2"/>
      <c r="V97" s="2"/>
      <c r="W97" s="2"/>
      <c r="X97" s="2"/>
      <c r="Y97" s="2"/>
    </row>
    <row r="98" spans="1:25" ht="14.25" customHeight="1">
      <c r="A98" s="2"/>
      <c r="B98" s="2"/>
      <c r="C98" s="2"/>
      <c r="D98" s="2"/>
      <c r="E98" s="2"/>
      <c r="F98" s="2"/>
      <c r="G98" s="2"/>
      <c r="H98" s="2"/>
      <c r="I98" s="2"/>
      <c r="J98" s="2"/>
      <c r="K98" s="2"/>
      <c r="L98" s="2"/>
      <c r="M98" s="2"/>
      <c r="N98" s="2"/>
      <c r="O98" s="2"/>
      <c r="P98" s="2"/>
      <c r="Q98" s="2"/>
      <c r="R98" s="2"/>
      <c r="S98" s="2"/>
      <c r="T98" s="2"/>
      <c r="U98" s="2"/>
      <c r="V98" s="2"/>
      <c r="W98" s="2"/>
      <c r="X98" s="2"/>
      <c r="Y98" s="2"/>
    </row>
    <row r="99" spans="1:25" ht="14.25" customHeight="1">
      <c r="A99" s="2"/>
      <c r="B99" s="2"/>
      <c r="C99" s="2"/>
      <c r="D99" s="2"/>
      <c r="E99" s="2"/>
      <c r="F99" s="2"/>
      <c r="G99" s="2"/>
      <c r="H99" s="2"/>
      <c r="I99" s="2"/>
      <c r="J99" s="2"/>
      <c r="K99" s="2"/>
      <c r="L99" s="2"/>
      <c r="M99" s="2"/>
      <c r="N99" s="2"/>
      <c r="O99" s="2"/>
      <c r="P99" s="2"/>
      <c r="Q99" s="2"/>
      <c r="R99" s="2"/>
      <c r="S99" s="2"/>
      <c r="T99" s="2"/>
      <c r="U99" s="2"/>
      <c r="V99" s="2"/>
      <c r="W99" s="2"/>
      <c r="X99" s="2"/>
      <c r="Y99" s="2"/>
    </row>
    <row r="100" spans="1:25"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row>
    <row r="101" spans="1:25"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row>
    <row r="102" spans="1:25"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row>
    <row r="103" spans="1:25"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row>
    <row r="104" spans="1:25"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row>
    <row r="105" spans="1:25"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row>
    <row r="106" spans="1:25"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row>
    <row r="107" spans="1:25"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row>
    <row r="108" spans="1:25"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row>
    <row r="109" spans="1:25"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row>
    <row r="110" spans="1:25"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row>
    <row r="111" spans="1:25"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row>
    <row r="112" spans="1:25"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row>
    <row r="113" spans="1:25"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row>
    <row r="114" spans="1:25"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row>
    <row r="115" spans="1:25"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row>
    <row r="116" spans="1:25"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row>
    <row r="117" spans="1:25"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row>
    <row r="118" spans="1:25"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row>
    <row r="119" spans="1:25"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row>
    <row r="120" spans="1:25"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row>
    <row r="121" spans="1:25"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row>
    <row r="122" spans="1:25"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row>
    <row r="123" spans="1:25"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row>
    <row r="124" spans="1:25"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row>
    <row r="125" spans="1:25"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row>
    <row r="126" spans="1:25"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row>
    <row r="127" spans="1:25"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row>
    <row r="128" spans="1:25"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row>
    <row r="129" spans="1:25"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row>
    <row r="130" spans="1:25"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row>
    <row r="131" spans="1:25"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row>
    <row r="132" spans="1:25"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row>
    <row r="133" spans="1:25"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row>
    <row r="134" spans="1:25"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row>
    <row r="135" spans="1:25"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row>
    <row r="136" spans="1:25"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row>
    <row r="137" spans="1:25"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row>
    <row r="138" spans="1:25"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row>
    <row r="139" spans="1:25"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row>
    <row r="140" spans="1:25"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row>
    <row r="141" spans="1:25"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row>
    <row r="142" spans="1:25"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row>
    <row r="143" spans="1:25"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row>
    <row r="144" spans="1:25"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row>
    <row r="145" spans="1:25"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row>
    <row r="146" spans="1:25"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row>
    <row r="147" spans="1:25"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row>
    <row r="148" spans="1:25"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row>
    <row r="149" spans="1:25"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row>
    <row r="150" spans="1:25"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row>
    <row r="151" spans="1:25"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row>
    <row r="152" spans="1:25"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row>
    <row r="153" spans="1:25"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row>
    <row r="154" spans="1:25"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row>
    <row r="155" spans="1:25"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row>
    <row r="156" spans="1:25"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row>
    <row r="157" spans="1:25"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row>
    <row r="158" spans="1:25"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row>
    <row r="159" spans="1:25"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row>
    <row r="160" spans="1:25"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row>
    <row r="161" spans="1:25"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row>
    <row r="162" spans="1:25"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row>
    <row r="163" spans="1:25"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row>
    <row r="164" spans="1:25" ht="14.25" customHeight="1"/>
    <row r="165" spans="1:25" ht="14.25" customHeight="1"/>
    <row r="166" spans="1:25" ht="14.25" customHeight="1"/>
    <row r="167" spans="1:25" ht="14.25" customHeight="1"/>
    <row r="168" spans="1:25" ht="14.25" customHeight="1"/>
    <row r="169" spans="1:25" ht="14.25" customHeight="1"/>
    <row r="170" spans="1:25" ht="14.25" customHeight="1"/>
    <row r="171" spans="1:25" ht="14.25" customHeight="1"/>
    <row r="172" spans="1:25" ht="14.25" customHeight="1"/>
    <row r="173" spans="1:25" ht="14.25" customHeight="1"/>
    <row r="174" spans="1:25" ht="14.25" customHeight="1"/>
    <row r="175" spans="1:25" ht="14.25" customHeight="1"/>
    <row r="176" spans="1:25"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sheetData>
  <sheetProtection algorithmName="SHA-512" hashValue="N8wglxV+AbwT4QlAlwZGQJhoMmNRPMoF821wv1NwoKkc+OG53t1yCgnfgrM26jy9wZaCIbRL5FfZODL9quFYtQ==" saltValue="xn37ncFDsomGfECY6PsQ6A==" spinCount="100000" sheet="1" objects="1" scenarios="1" selectLockedCells="1" selectUnlockedCells="1"/>
  <mergeCells count="12">
    <mergeCell ref="K24:L24"/>
    <mergeCell ref="B6:E6"/>
    <mergeCell ref="B22:D23"/>
    <mergeCell ref="B1:J1"/>
    <mergeCell ref="B4:D4"/>
    <mergeCell ref="H4:I4"/>
    <mergeCell ref="H22:I23"/>
    <mergeCell ref="D29:F29"/>
    <mergeCell ref="B25:D26"/>
    <mergeCell ref="H25:I26"/>
    <mergeCell ref="G29:H30"/>
    <mergeCell ref="D28:F28"/>
  </mergeCells>
  <pageMargins left="0.7" right="0.7" top="0.75" bottom="0.75" header="0.3" footer="0.3"/>
  <pageSetup paperSize="9" orientation="portrait"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expression" priority="2" id="{FB567EBE-38CA-4E06-822E-81D575A58790}">
            <xm:f>'C:\Users\PREFCON TECHNOLOGIES\Desktop\Work\SCE Course\[Cold Room Course.xlsx]Calculation Sheet'!#REF!="No"</xm:f>
            <x14:dxf>
              <font>
                <color theme="3" tint="0.79998168889431442"/>
              </font>
            </x14:dxf>
          </x14:cfRule>
          <xm:sqref>B22</xm:sqref>
        </x14:conditionalFormatting>
        <x14:conditionalFormatting xmlns:xm="http://schemas.microsoft.com/office/excel/2006/main">
          <x14:cfRule type="expression" priority="1" id="{241EE518-AB32-4C69-B163-C00653E4CB53}">
            <xm:f>'C:\Users\PREFCON TECHNOLOGIES\Desktop\Work\SCE Course\[Cold Room Course.xlsx]Calculation Sheet'!#REF!="No"</xm:f>
            <x14:dxf>
              <font>
                <color theme="3" tint="0.79998168889431442"/>
              </font>
            </x14:dxf>
          </x14:cfRule>
          <xm:sqref>H22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79DA071C-79F9-4A03-A4C9-84B8EF113ADA}">
          <x14:formula1>
            <xm:f>'6 LCA'!B71:B88</xm:f>
          </x14:formula1>
          <xm:sqref>B6:B7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theme="7"/>
  </sheetPr>
  <dimension ref="A1:Z1010"/>
  <sheetViews>
    <sheetView workbookViewId="0">
      <selection activeCell="C20" sqref="C20"/>
    </sheetView>
  </sheetViews>
  <sheetFormatPr baseColWidth="10" defaultColWidth="14.42578125" defaultRowHeight="15" customHeight="1"/>
  <cols>
    <col min="1" max="1" width="10.7109375" customWidth="1"/>
    <col min="2" max="2" width="38.42578125" customWidth="1"/>
    <col min="3" max="26" width="10.7109375" customWidth="1"/>
  </cols>
  <sheetData>
    <row r="1" spans="1:26" ht="14.25" customHeight="1">
      <c r="A1" s="10"/>
      <c r="B1" s="10"/>
      <c r="C1" s="10"/>
      <c r="D1" s="10"/>
      <c r="E1" s="10"/>
      <c r="F1" s="10"/>
      <c r="G1" s="10"/>
      <c r="H1" s="10"/>
      <c r="I1" s="10"/>
      <c r="J1" s="10"/>
      <c r="K1" s="10"/>
      <c r="L1" s="10"/>
      <c r="M1" s="10"/>
      <c r="N1" s="10"/>
      <c r="O1" s="10"/>
      <c r="P1" s="10"/>
      <c r="Q1" s="10"/>
      <c r="R1" s="10"/>
      <c r="S1" s="10"/>
      <c r="T1" s="10"/>
      <c r="U1" s="10"/>
      <c r="V1" s="10"/>
      <c r="W1" s="10"/>
      <c r="X1" s="10"/>
      <c r="Y1" s="10"/>
      <c r="Z1" s="10"/>
    </row>
    <row r="2" spans="1:26" ht="14.25" customHeight="1">
      <c r="A2" s="10"/>
      <c r="B2" s="10"/>
      <c r="C2" s="10"/>
      <c r="D2" s="10"/>
      <c r="E2" s="10"/>
      <c r="F2" s="10"/>
      <c r="G2" s="10"/>
      <c r="H2" s="10"/>
      <c r="I2" s="10"/>
      <c r="J2" s="10"/>
      <c r="K2" s="10"/>
      <c r="L2" s="10"/>
      <c r="M2" s="10"/>
      <c r="N2" s="10"/>
      <c r="O2" s="10"/>
      <c r="P2" s="10"/>
      <c r="Q2" s="10"/>
      <c r="R2" s="10"/>
      <c r="S2" s="10"/>
      <c r="T2" s="10"/>
      <c r="U2" s="10"/>
      <c r="V2" s="10"/>
      <c r="W2" s="10"/>
      <c r="X2" s="10"/>
      <c r="Y2" s="10"/>
      <c r="Z2" s="10"/>
    </row>
    <row r="3" spans="1:26" ht="14.25" customHeight="1">
      <c r="A3" s="10"/>
      <c r="B3" s="10"/>
      <c r="C3" s="10"/>
      <c r="D3" s="10"/>
      <c r="E3" s="10"/>
      <c r="F3" s="10"/>
      <c r="G3" s="10"/>
      <c r="H3" s="10"/>
      <c r="I3" s="10"/>
      <c r="J3" s="10"/>
      <c r="K3" s="10"/>
      <c r="L3" s="10"/>
      <c r="M3" s="10"/>
      <c r="N3" s="10"/>
      <c r="O3" s="10"/>
      <c r="P3" s="10"/>
      <c r="Q3" s="10"/>
      <c r="R3" s="10"/>
      <c r="S3" s="10"/>
      <c r="T3" s="10"/>
      <c r="U3" s="10"/>
      <c r="V3" s="10"/>
      <c r="W3" s="10"/>
      <c r="X3" s="10"/>
      <c r="Y3" s="10"/>
      <c r="Z3" s="10"/>
    </row>
    <row r="4" spans="1:26" ht="14.25" customHeight="1">
      <c r="A4" s="10"/>
      <c r="B4" s="10"/>
      <c r="C4" s="10"/>
      <c r="D4" s="10"/>
      <c r="E4" s="10"/>
      <c r="F4" s="10"/>
      <c r="G4" s="10"/>
      <c r="H4" s="10"/>
      <c r="I4" s="10"/>
      <c r="J4" s="10"/>
      <c r="K4" s="10"/>
      <c r="L4" s="10"/>
      <c r="M4" s="10"/>
      <c r="N4" s="10"/>
      <c r="O4" s="10"/>
      <c r="P4" s="10"/>
      <c r="Q4" s="10"/>
      <c r="R4" s="10"/>
      <c r="S4" s="10"/>
      <c r="T4" s="10"/>
      <c r="U4" s="10"/>
      <c r="V4" s="10"/>
      <c r="W4" s="10"/>
      <c r="X4" s="10"/>
      <c r="Y4" s="10"/>
      <c r="Z4" s="10"/>
    </row>
    <row r="5" spans="1:26" ht="14.25" customHeight="1">
      <c r="A5" s="10"/>
      <c r="B5" s="12" t="str">
        <f>"Selection: "&amp;S13</f>
        <v>Selection: Kenya (Homa Bay)</v>
      </c>
      <c r="C5" s="12" t="str">
        <f>Translation!B33</f>
        <v>January</v>
      </c>
      <c r="D5" s="12" t="str">
        <f>Translation!B34</f>
        <v>February</v>
      </c>
      <c r="E5" s="12" t="str">
        <f>Translation!B35</f>
        <v>March</v>
      </c>
      <c r="F5" s="12" t="str">
        <f>Translation!B36</f>
        <v>April</v>
      </c>
      <c r="G5" s="12" t="str">
        <f>Translation!B37</f>
        <v>May</v>
      </c>
      <c r="H5" s="12" t="str">
        <f>Translation!B38</f>
        <v>June</v>
      </c>
      <c r="I5" s="12" t="str">
        <f>Translation!B39</f>
        <v>July</v>
      </c>
      <c r="J5" s="12" t="str">
        <f>Translation!B40</f>
        <v>August</v>
      </c>
      <c r="K5" s="12" t="str">
        <f>Translation!B41</f>
        <v>September</v>
      </c>
      <c r="L5" s="12" t="str">
        <f>Translation!B42</f>
        <v>October</v>
      </c>
      <c r="M5" s="12" t="str">
        <f>Translation!B43</f>
        <v>November</v>
      </c>
      <c r="N5" s="12" t="str">
        <f>Translation!B44</f>
        <v>December</v>
      </c>
      <c r="O5" s="10"/>
      <c r="P5" s="10"/>
      <c r="Q5" s="10"/>
      <c r="R5" s="10"/>
      <c r="S5" s="10"/>
      <c r="T5" s="10"/>
      <c r="U5" s="10"/>
      <c r="V5" s="10"/>
      <c r="W5" s="10"/>
      <c r="X5" s="10"/>
      <c r="Y5" s="10"/>
      <c r="Z5" s="10"/>
    </row>
    <row r="6" spans="1:26" ht="14.25" customHeight="1">
      <c r="A6" s="10"/>
      <c r="B6" s="12" t="str">
        <f>Translation!B31</f>
        <v>Mean daily temperature [°C]:</v>
      </c>
      <c r="C6" s="20">
        <f t="shared" ref="C6:N6" si="0">INDEX(C14:C60,MATCH($S$13,$B$14:$B$59,0)+1)</f>
        <v>22.7</v>
      </c>
      <c r="D6" s="20">
        <f t="shared" si="0"/>
        <v>23.5</v>
      </c>
      <c r="E6" s="20">
        <f t="shared" si="0"/>
        <v>21.1</v>
      </c>
      <c r="F6" s="20">
        <f t="shared" si="0"/>
        <v>21.1</v>
      </c>
      <c r="G6" s="20">
        <f t="shared" si="0"/>
        <v>22</v>
      </c>
      <c r="H6" s="20">
        <f t="shared" si="0"/>
        <v>21.3</v>
      </c>
      <c r="I6" s="20">
        <f t="shared" si="0"/>
        <v>21.7</v>
      </c>
      <c r="J6" s="20">
        <f t="shared" si="0"/>
        <v>23</v>
      </c>
      <c r="K6" s="20">
        <f t="shared" si="0"/>
        <v>22</v>
      </c>
      <c r="L6" s="20">
        <f t="shared" si="0"/>
        <v>22.5</v>
      </c>
      <c r="M6" s="20">
        <f t="shared" si="0"/>
        <v>20.9</v>
      </c>
      <c r="N6" s="20">
        <f t="shared" si="0"/>
        <v>20.8</v>
      </c>
      <c r="O6" s="10"/>
      <c r="P6" s="10"/>
      <c r="Q6" s="10"/>
      <c r="R6" s="10"/>
      <c r="S6" s="10"/>
      <c r="T6" s="10"/>
      <c r="U6" s="10"/>
      <c r="V6" s="10"/>
      <c r="W6" s="10"/>
      <c r="X6" s="10"/>
      <c r="Y6" s="10"/>
      <c r="Z6" s="10"/>
    </row>
    <row r="7" spans="1:26" ht="14.25" customHeight="1">
      <c r="A7" s="10"/>
      <c r="B7" s="12" t="str">
        <f>Translation!B32</f>
        <v>Solar irradiation [kWh/m² day]:</v>
      </c>
      <c r="C7" s="21">
        <f>INDEX(C14:C62,MATCH($S$13,$B$14:$B$59,0)+3)</f>
        <v>6.7983870967741939</v>
      </c>
      <c r="D7" s="21">
        <f t="shared" ref="D7:N7" si="1">INDEX(D14:D62,MATCH($S$13,$B$14:$B$59,0)+3)</f>
        <v>7.2350000000000003</v>
      </c>
      <c r="E7" s="21">
        <f t="shared" si="1"/>
        <v>5.9770967741935479</v>
      </c>
      <c r="F7" s="21">
        <f t="shared" si="1"/>
        <v>5.9293333333333331</v>
      </c>
      <c r="G7" s="21">
        <f t="shared" si="1"/>
        <v>6.3945161290322581</v>
      </c>
      <c r="H7" s="21">
        <f t="shared" si="1"/>
        <v>5.5709999999999997</v>
      </c>
      <c r="I7" s="21">
        <f t="shared" si="1"/>
        <v>6.1029032258064513</v>
      </c>
      <c r="J7" s="21">
        <f t="shared" si="1"/>
        <v>6.2412903225806451</v>
      </c>
      <c r="K7" s="21">
        <f t="shared" si="1"/>
        <v>6.3456666666666672</v>
      </c>
      <c r="L7" s="21">
        <f t="shared" si="1"/>
        <v>6.2751612903225809</v>
      </c>
      <c r="M7" s="21">
        <f t="shared" si="1"/>
        <v>5.6116666666666664</v>
      </c>
      <c r="N7" s="21">
        <f t="shared" si="1"/>
        <v>6.3029032258064515</v>
      </c>
      <c r="O7" s="10"/>
      <c r="P7" s="10"/>
      <c r="Q7" s="10"/>
      <c r="R7" s="10"/>
      <c r="S7" s="10"/>
      <c r="T7" s="10"/>
      <c r="U7" s="10"/>
      <c r="V7" s="10"/>
      <c r="W7" s="10"/>
      <c r="X7" s="10"/>
      <c r="Y7" s="10"/>
      <c r="Z7" s="10"/>
    </row>
    <row r="8" spans="1:26" ht="14.25" customHeight="1">
      <c r="A8" s="10"/>
      <c r="B8" s="10"/>
      <c r="C8" s="7"/>
      <c r="D8" s="7"/>
      <c r="E8" s="7"/>
      <c r="F8" s="7"/>
      <c r="G8" s="7"/>
      <c r="H8" s="7"/>
      <c r="I8" s="7"/>
      <c r="J8" s="7"/>
      <c r="K8" s="7"/>
      <c r="L8" s="7"/>
      <c r="M8" s="7"/>
      <c r="N8" s="7"/>
      <c r="O8" s="10"/>
      <c r="P8" s="10"/>
      <c r="Q8" s="10"/>
      <c r="R8" s="10"/>
      <c r="S8" s="10"/>
      <c r="T8" s="10"/>
      <c r="U8" s="10"/>
      <c r="V8" s="10"/>
      <c r="W8" s="10"/>
      <c r="X8" s="10"/>
      <c r="Y8" s="10"/>
      <c r="Z8" s="10"/>
    </row>
    <row r="9" spans="1:26" ht="14.25" customHeight="1">
      <c r="A9" s="10"/>
      <c r="B9" s="10"/>
      <c r="C9" s="10"/>
      <c r="D9" s="10"/>
      <c r="E9" s="10"/>
      <c r="F9" s="10"/>
      <c r="G9" s="10"/>
      <c r="H9" s="10"/>
      <c r="I9" s="10"/>
      <c r="J9" s="10"/>
      <c r="K9" s="10"/>
      <c r="L9" s="10"/>
      <c r="M9" s="10"/>
      <c r="N9" s="10"/>
      <c r="O9" s="10"/>
      <c r="P9" s="10"/>
      <c r="Q9" s="10"/>
      <c r="R9" s="10"/>
      <c r="S9" s="10"/>
      <c r="T9" s="10"/>
      <c r="U9" s="10"/>
      <c r="V9" s="10"/>
      <c r="W9" s="10"/>
      <c r="X9" s="10"/>
      <c r="Y9" s="10"/>
      <c r="Z9" s="10"/>
    </row>
    <row r="10" spans="1:26" ht="14.25" customHeight="1">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row>
    <row r="11" spans="1:26" ht="14.25" customHeight="1">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row>
    <row r="12" spans="1:26" ht="14.25" customHeight="1">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row>
    <row r="13" spans="1:26" ht="14.25" customHeight="1">
      <c r="A13" s="10"/>
      <c r="B13" s="10"/>
      <c r="C13" s="10"/>
      <c r="D13" s="10"/>
      <c r="E13" s="10"/>
      <c r="F13" s="10"/>
      <c r="G13" s="10"/>
      <c r="H13" s="10"/>
      <c r="I13" s="10"/>
      <c r="J13" s="10"/>
      <c r="K13" s="10"/>
      <c r="L13" s="10"/>
      <c r="M13" s="10"/>
      <c r="N13" s="10"/>
      <c r="O13" s="10"/>
      <c r="P13" s="10"/>
      <c r="Q13" s="10" t="s">
        <v>33</v>
      </c>
      <c r="R13" s="10"/>
      <c r="S13" s="22" t="str">
        <f>'1 Geographic Data'!B8</f>
        <v>Kenya (Homa Bay)</v>
      </c>
      <c r="T13" s="10"/>
      <c r="U13" s="10"/>
      <c r="V13" s="10"/>
      <c r="W13" s="10"/>
      <c r="X13" s="10"/>
      <c r="Y13" s="10"/>
      <c r="Z13" s="10"/>
    </row>
    <row r="14" spans="1:26" ht="14.25" customHeight="1">
      <c r="A14" s="10"/>
      <c r="B14" s="442" t="s">
        <v>34</v>
      </c>
      <c r="C14" s="12" t="str">
        <f t="shared" ref="C14:N14" si="2">C5</f>
        <v>January</v>
      </c>
      <c r="D14" s="12" t="str">
        <f t="shared" si="2"/>
        <v>February</v>
      </c>
      <c r="E14" s="12" t="str">
        <f t="shared" si="2"/>
        <v>March</v>
      </c>
      <c r="F14" s="12" t="str">
        <f t="shared" si="2"/>
        <v>April</v>
      </c>
      <c r="G14" s="12" t="str">
        <f t="shared" si="2"/>
        <v>May</v>
      </c>
      <c r="H14" s="12" t="str">
        <f t="shared" si="2"/>
        <v>June</v>
      </c>
      <c r="I14" s="12" t="str">
        <f t="shared" si="2"/>
        <v>July</v>
      </c>
      <c r="J14" s="12" t="str">
        <f t="shared" si="2"/>
        <v>August</v>
      </c>
      <c r="K14" s="12" t="str">
        <f t="shared" si="2"/>
        <v>September</v>
      </c>
      <c r="L14" s="12" t="str">
        <f t="shared" si="2"/>
        <v>October</v>
      </c>
      <c r="M14" s="12" t="str">
        <f t="shared" si="2"/>
        <v>November</v>
      </c>
      <c r="N14" s="12" t="str">
        <f t="shared" si="2"/>
        <v>December</v>
      </c>
      <c r="O14" s="10"/>
      <c r="P14" s="10"/>
      <c r="Q14" s="12" t="s">
        <v>35</v>
      </c>
      <c r="R14" s="10"/>
      <c r="S14" s="10"/>
      <c r="T14" s="10"/>
      <c r="U14" s="10"/>
      <c r="V14" s="10"/>
      <c r="W14" s="10"/>
      <c r="X14" s="10"/>
      <c r="Y14" s="10"/>
      <c r="Z14" s="10"/>
    </row>
    <row r="15" spans="1:26" ht="14.25" customHeight="1">
      <c r="A15" s="10"/>
      <c r="B15" s="12" t="str">
        <f t="shared" ref="B15" si="3">B6</f>
        <v>Mean daily temperature [°C]:</v>
      </c>
      <c r="C15" s="443">
        <v>25</v>
      </c>
      <c r="D15" s="443">
        <v>26</v>
      </c>
      <c r="E15" s="443">
        <v>26</v>
      </c>
      <c r="F15" s="443">
        <v>26</v>
      </c>
      <c r="G15" s="443">
        <v>25</v>
      </c>
      <c r="H15" s="443">
        <v>23</v>
      </c>
      <c r="I15" s="443">
        <v>22</v>
      </c>
      <c r="J15" s="443">
        <v>23</v>
      </c>
      <c r="K15" s="443">
        <v>24</v>
      </c>
      <c r="L15" s="443">
        <v>25</v>
      </c>
      <c r="M15" s="443">
        <v>25</v>
      </c>
      <c r="N15" s="443">
        <v>25</v>
      </c>
      <c r="O15" s="10"/>
      <c r="P15" s="10"/>
      <c r="Q15" s="10"/>
      <c r="R15" s="10"/>
      <c r="S15" s="23" t="str">
        <f>B14</f>
        <v>Kenya (Kisumu)</v>
      </c>
      <c r="T15" s="10"/>
      <c r="U15" s="10"/>
      <c r="V15" s="10"/>
      <c r="W15" s="10"/>
      <c r="X15" s="10"/>
      <c r="Y15" s="10"/>
      <c r="Z15" s="10"/>
    </row>
    <row r="16" spans="1:26" ht="14.25" customHeight="1">
      <c r="A16" s="119"/>
      <c r="B16" s="120" t="s">
        <v>389</v>
      </c>
      <c r="C16" s="443">
        <v>191.69</v>
      </c>
      <c r="D16" s="443">
        <v>194.63</v>
      </c>
      <c r="E16" s="443">
        <v>191.8</v>
      </c>
      <c r="F16" s="443">
        <v>187.24</v>
      </c>
      <c r="G16" s="443">
        <v>192.01</v>
      </c>
      <c r="H16" s="443">
        <v>167.92</v>
      </c>
      <c r="I16" s="443">
        <v>168.55</v>
      </c>
      <c r="J16" s="443">
        <v>190.78</v>
      </c>
      <c r="K16" s="443">
        <v>193.34</v>
      </c>
      <c r="L16" s="443">
        <v>199.56</v>
      </c>
      <c r="M16" s="443">
        <v>194.52</v>
      </c>
      <c r="N16" s="443">
        <v>209.15</v>
      </c>
      <c r="O16" s="119"/>
      <c r="P16" s="119"/>
      <c r="Q16" s="119"/>
      <c r="R16" s="119"/>
      <c r="S16" s="121"/>
      <c r="T16" s="119"/>
      <c r="U16" s="119"/>
      <c r="V16" s="119"/>
      <c r="W16" s="119"/>
      <c r="X16" s="119"/>
      <c r="Y16" s="119"/>
      <c r="Z16" s="119"/>
    </row>
    <row r="17" spans="1:26" ht="14.25" customHeight="1">
      <c r="A17" s="10"/>
      <c r="B17" s="12" t="str">
        <f>B7</f>
        <v>Solar irradiation [kWh/m² day]:</v>
      </c>
      <c r="C17" s="443">
        <f>C16/31</f>
        <v>6.1835483870967742</v>
      </c>
      <c r="D17" s="443">
        <f>D16/28</f>
        <v>6.9510714285714288</v>
      </c>
      <c r="E17" s="443">
        <f>E16/31</f>
        <v>6.1870967741935488</v>
      </c>
      <c r="F17" s="443">
        <f>F16/30</f>
        <v>6.2413333333333334</v>
      </c>
      <c r="G17" s="443">
        <f>G16/31</f>
        <v>6.193870967741935</v>
      </c>
      <c r="H17" s="443">
        <f>H16/30</f>
        <v>5.5973333333333333</v>
      </c>
      <c r="I17" s="443">
        <f t="shared" ref="I17" si="4">I16/31</f>
        <v>5.4370967741935488</v>
      </c>
      <c r="J17" s="443">
        <f>J16/31</f>
        <v>6.1541935483870969</v>
      </c>
      <c r="K17" s="443">
        <f>K16/30</f>
        <v>6.4446666666666665</v>
      </c>
      <c r="L17" s="443">
        <f t="shared" ref="L17" si="5">L16/31</f>
        <v>6.4374193548387098</v>
      </c>
      <c r="M17" s="443">
        <f>M16/30</f>
        <v>6.484</v>
      </c>
      <c r="N17" s="443">
        <f t="shared" ref="N17" si="6">N16/31</f>
        <v>6.7467741935483874</v>
      </c>
      <c r="O17" s="10"/>
      <c r="P17" s="10"/>
      <c r="Q17" s="10"/>
      <c r="R17" s="10"/>
      <c r="S17" s="23" t="str">
        <f>B19</f>
        <v>Kenya (Homa Bay)</v>
      </c>
      <c r="T17" s="10"/>
      <c r="U17" s="10"/>
      <c r="V17" s="10"/>
      <c r="W17" s="10"/>
      <c r="X17" s="10"/>
      <c r="Y17" s="10"/>
      <c r="Z17" s="10"/>
    </row>
    <row r="18" spans="1:26" ht="14.25" customHeight="1">
      <c r="A18" s="10"/>
      <c r="B18" s="10"/>
      <c r="C18" s="10"/>
      <c r="D18" s="10"/>
      <c r="E18" s="10"/>
      <c r="F18" s="10"/>
      <c r="G18" s="10"/>
      <c r="H18" s="10"/>
      <c r="I18" s="10"/>
      <c r="J18" s="10"/>
      <c r="K18" s="10"/>
      <c r="L18" s="10"/>
      <c r="M18" s="10"/>
      <c r="N18" s="10"/>
      <c r="O18" s="10"/>
      <c r="P18" s="10"/>
      <c r="Q18" s="10"/>
      <c r="R18" s="10"/>
      <c r="S18" s="23" t="str">
        <f>B24</f>
        <v>Mali (Bamako)</v>
      </c>
      <c r="T18" s="10"/>
      <c r="U18" s="10"/>
      <c r="V18" s="10"/>
      <c r="W18" s="10"/>
      <c r="X18" s="10"/>
      <c r="Y18" s="10"/>
      <c r="Z18" s="10"/>
    </row>
    <row r="19" spans="1:26" ht="14.25" customHeight="1">
      <c r="A19" s="10"/>
      <c r="B19" s="442" t="s">
        <v>838</v>
      </c>
      <c r="C19" s="12" t="str">
        <f t="shared" ref="C19:N19" si="7">C14</f>
        <v>January</v>
      </c>
      <c r="D19" s="12" t="str">
        <f t="shared" si="7"/>
        <v>February</v>
      </c>
      <c r="E19" s="12" t="str">
        <f t="shared" si="7"/>
        <v>March</v>
      </c>
      <c r="F19" s="12" t="str">
        <f t="shared" si="7"/>
        <v>April</v>
      </c>
      <c r="G19" s="12" t="str">
        <f t="shared" si="7"/>
        <v>May</v>
      </c>
      <c r="H19" s="12" t="str">
        <f t="shared" si="7"/>
        <v>June</v>
      </c>
      <c r="I19" s="12" t="str">
        <f t="shared" si="7"/>
        <v>July</v>
      </c>
      <c r="J19" s="12" t="str">
        <f t="shared" si="7"/>
        <v>August</v>
      </c>
      <c r="K19" s="12" t="str">
        <f t="shared" si="7"/>
        <v>September</v>
      </c>
      <c r="L19" s="12" t="str">
        <f t="shared" si="7"/>
        <v>October</v>
      </c>
      <c r="M19" s="12" t="str">
        <f t="shared" si="7"/>
        <v>November</v>
      </c>
      <c r="N19" s="12" t="str">
        <f t="shared" si="7"/>
        <v>December</v>
      </c>
      <c r="O19" s="10"/>
      <c r="P19" s="10"/>
      <c r="Q19" s="10"/>
      <c r="R19" s="10"/>
      <c r="S19" s="23" t="str">
        <f>B29</f>
        <v>Kigali (Rwanda)</v>
      </c>
      <c r="T19" s="10"/>
      <c r="U19" s="10"/>
      <c r="V19" s="10"/>
      <c r="W19" s="10"/>
      <c r="X19" s="10"/>
      <c r="Y19" s="10"/>
      <c r="Z19" s="10"/>
    </row>
    <row r="20" spans="1:26" ht="14.25" customHeight="1">
      <c r="A20" s="10"/>
      <c r="B20" s="12" t="str">
        <f>B15</f>
        <v>Mean daily temperature [°C]:</v>
      </c>
      <c r="C20" s="444">
        <v>22.7</v>
      </c>
      <c r="D20" s="444">
        <v>23.5</v>
      </c>
      <c r="E20" s="444">
        <v>21.1</v>
      </c>
      <c r="F20" s="444">
        <v>21.1</v>
      </c>
      <c r="G20" s="444">
        <v>22</v>
      </c>
      <c r="H20" s="444">
        <v>21.3</v>
      </c>
      <c r="I20" s="444">
        <v>21.7</v>
      </c>
      <c r="J20" s="444">
        <v>23</v>
      </c>
      <c r="K20" s="444">
        <v>22</v>
      </c>
      <c r="L20" s="444">
        <v>22.5</v>
      </c>
      <c r="M20" s="444">
        <v>20.9</v>
      </c>
      <c r="N20" s="444">
        <v>20.8</v>
      </c>
      <c r="O20" s="10"/>
      <c r="P20" s="10"/>
      <c r="Q20" s="10"/>
      <c r="R20" s="10"/>
      <c r="S20" s="23" t="str">
        <f>B34</f>
        <v>Ilorin (Nigeria)</v>
      </c>
      <c r="T20" s="10"/>
      <c r="U20" s="10"/>
      <c r="V20" s="10"/>
      <c r="W20" s="10"/>
      <c r="X20" s="10"/>
      <c r="Y20" s="10"/>
      <c r="Z20" s="10"/>
    </row>
    <row r="21" spans="1:26" ht="14.25" customHeight="1">
      <c r="A21" s="119"/>
      <c r="B21" s="120" t="s">
        <v>389</v>
      </c>
      <c r="C21" s="444">
        <v>210.75</v>
      </c>
      <c r="D21" s="444">
        <v>202.58</v>
      </c>
      <c r="E21" s="444">
        <v>185.29</v>
      </c>
      <c r="F21" s="444">
        <v>177.88</v>
      </c>
      <c r="G21" s="444">
        <v>198.23</v>
      </c>
      <c r="H21" s="444">
        <v>167.13</v>
      </c>
      <c r="I21" s="444">
        <v>189.19</v>
      </c>
      <c r="J21" s="444">
        <v>193.48</v>
      </c>
      <c r="K21" s="444">
        <v>190.37</v>
      </c>
      <c r="L21" s="444">
        <v>194.53</v>
      </c>
      <c r="M21" s="444">
        <v>168.35</v>
      </c>
      <c r="N21" s="444">
        <v>195.39</v>
      </c>
      <c r="O21" s="119"/>
      <c r="P21" s="119"/>
      <c r="Q21" s="119"/>
      <c r="R21" s="119"/>
      <c r="S21" s="121"/>
      <c r="T21" s="119"/>
      <c r="U21" s="119"/>
      <c r="V21" s="119"/>
      <c r="W21" s="119"/>
      <c r="X21" s="119"/>
      <c r="Y21" s="119"/>
      <c r="Z21" s="119"/>
    </row>
    <row r="22" spans="1:26" ht="14.25" customHeight="1">
      <c r="A22" s="10"/>
      <c r="B22" s="12" t="str">
        <f t="shared" ref="B22" si="8">B17</f>
        <v>Solar irradiation [kWh/m² day]:</v>
      </c>
      <c r="C22" s="444">
        <f>C21/31</f>
        <v>6.7983870967741939</v>
      </c>
      <c r="D22" s="444">
        <f>D21/28</f>
        <v>7.2350000000000003</v>
      </c>
      <c r="E22" s="444">
        <f>E21/31</f>
        <v>5.9770967741935479</v>
      </c>
      <c r="F22" s="444">
        <f>F21/30</f>
        <v>5.9293333333333331</v>
      </c>
      <c r="G22" s="444">
        <f>G21/31</f>
        <v>6.3945161290322581</v>
      </c>
      <c r="H22" s="444">
        <f>H21/30</f>
        <v>5.5709999999999997</v>
      </c>
      <c r="I22" s="444">
        <f t="shared" ref="I22" si="9">I21/31</f>
        <v>6.1029032258064513</v>
      </c>
      <c r="J22" s="444">
        <f>J21/31</f>
        <v>6.2412903225806451</v>
      </c>
      <c r="K22" s="444">
        <f>K21/30</f>
        <v>6.3456666666666672</v>
      </c>
      <c r="L22" s="444">
        <f t="shared" ref="L22" si="10">L21/31</f>
        <v>6.2751612903225809</v>
      </c>
      <c r="M22" s="444">
        <f>M21/30</f>
        <v>5.6116666666666664</v>
      </c>
      <c r="N22" s="444">
        <f t="shared" ref="N22" si="11">N21/31</f>
        <v>6.3029032258064515</v>
      </c>
      <c r="O22" s="10"/>
      <c r="P22" s="10"/>
      <c r="Q22" s="10"/>
      <c r="R22" s="10"/>
      <c r="S22" s="23" t="str">
        <f>B39</f>
        <v>Lagos (Nigeria)</v>
      </c>
      <c r="T22" s="10"/>
      <c r="U22" s="10"/>
      <c r="V22" s="10"/>
      <c r="W22" s="10"/>
      <c r="X22" s="10"/>
      <c r="Y22" s="10"/>
      <c r="Z22" s="10"/>
    </row>
    <row r="23" spans="1:26" ht="14.25" customHeight="1">
      <c r="A23" s="10"/>
      <c r="B23" s="10"/>
      <c r="C23" s="10"/>
      <c r="D23" s="10"/>
      <c r="E23" s="10"/>
      <c r="F23" s="10"/>
      <c r="G23" s="10"/>
      <c r="H23" s="10"/>
      <c r="I23" s="10"/>
      <c r="J23" s="10"/>
      <c r="K23" s="10"/>
      <c r="L23" s="10"/>
      <c r="M23" s="10"/>
      <c r="N23" s="10"/>
      <c r="O23" s="10"/>
      <c r="P23" s="10"/>
      <c r="Q23" s="10"/>
      <c r="R23" s="10"/>
      <c r="S23" s="23" t="str">
        <f>B44</f>
        <v>Mogadischu (Somalia)</v>
      </c>
      <c r="T23" s="10"/>
      <c r="U23" s="10"/>
      <c r="V23" s="10"/>
      <c r="W23" s="10"/>
      <c r="X23" s="10"/>
      <c r="Y23" s="10"/>
      <c r="Z23" s="10"/>
    </row>
    <row r="24" spans="1:26" ht="14.25" customHeight="1">
      <c r="A24" s="10"/>
      <c r="B24" s="442" t="s">
        <v>36</v>
      </c>
      <c r="C24" s="12" t="str">
        <f t="shared" ref="C24:N24" si="12">C14</f>
        <v>January</v>
      </c>
      <c r="D24" s="12" t="str">
        <f t="shared" si="12"/>
        <v>February</v>
      </c>
      <c r="E24" s="12" t="str">
        <f t="shared" si="12"/>
        <v>March</v>
      </c>
      <c r="F24" s="12" t="str">
        <f t="shared" si="12"/>
        <v>April</v>
      </c>
      <c r="G24" s="12" t="str">
        <f t="shared" si="12"/>
        <v>May</v>
      </c>
      <c r="H24" s="12" t="str">
        <f t="shared" si="12"/>
        <v>June</v>
      </c>
      <c r="I24" s="12" t="str">
        <f t="shared" si="12"/>
        <v>July</v>
      </c>
      <c r="J24" s="12" t="str">
        <f t="shared" si="12"/>
        <v>August</v>
      </c>
      <c r="K24" s="12" t="str">
        <f t="shared" si="12"/>
        <v>September</v>
      </c>
      <c r="L24" s="12" t="str">
        <f t="shared" si="12"/>
        <v>October</v>
      </c>
      <c r="M24" s="12" t="str">
        <f t="shared" si="12"/>
        <v>November</v>
      </c>
      <c r="N24" s="12" t="str">
        <f t="shared" si="12"/>
        <v>December</v>
      </c>
      <c r="O24" s="10"/>
      <c r="P24" s="10"/>
      <c r="Q24" s="10"/>
      <c r="R24" s="10"/>
      <c r="S24" s="23" t="str">
        <f>B49</f>
        <v xml:space="preserve">Accra,Ghana </v>
      </c>
      <c r="T24" s="10"/>
      <c r="U24" s="10"/>
      <c r="V24" s="10"/>
      <c r="W24" s="10"/>
      <c r="X24" s="10"/>
      <c r="Y24" s="10"/>
      <c r="Z24" s="10"/>
    </row>
    <row r="25" spans="1:26" ht="14.25" customHeight="1">
      <c r="A25" s="10"/>
      <c r="B25" s="12" t="str">
        <f>B15</f>
        <v>Mean daily temperature [°C]:</v>
      </c>
      <c r="C25" s="443">
        <v>25.1</v>
      </c>
      <c r="D25" s="443">
        <v>27.8</v>
      </c>
      <c r="E25" s="443">
        <v>30.3</v>
      </c>
      <c r="F25" s="443">
        <v>31.1</v>
      </c>
      <c r="G25" s="443">
        <v>31.5</v>
      </c>
      <c r="H25" s="443">
        <v>29</v>
      </c>
      <c r="I25" s="443">
        <v>27.4</v>
      </c>
      <c r="J25" s="443">
        <v>25.9</v>
      </c>
      <c r="K25" s="443">
        <v>26.4</v>
      </c>
      <c r="L25" s="443">
        <v>27.4</v>
      </c>
      <c r="M25" s="443">
        <v>26.5</v>
      </c>
      <c r="N25" s="443">
        <v>24.8</v>
      </c>
      <c r="O25" s="10"/>
      <c r="P25" s="10"/>
      <c r="Q25" s="10"/>
      <c r="R25" s="10"/>
      <c r="S25" s="23" t="str">
        <f>B54</f>
        <v>Tamale, Ghana</v>
      </c>
      <c r="T25" s="10"/>
      <c r="U25" s="10"/>
      <c r="V25" s="10"/>
      <c r="W25" s="10"/>
      <c r="X25" s="10"/>
      <c r="Y25" s="10"/>
      <c r="Z25" s="10"/>
    </row>
    <row r="26" spans="1:26" ht="14.25" customHeight="1">
      <c r="A26" s="119"/>
      <c r="B26" s="120" t="s">
        <v>389</v>
      </c>
      <c r="C26" s="443"/>
      <c r="D26" s="443"/>
      <c r="E26" s="443"/>
      <c r="F26" s="443"/>
      <c r="G26" s="443"/>
      <c r="H26" s="443"/>
      <c r="I26" s="443"/>
      <c r="J26" s="443"/>
      <c r="K26" s="443"/>
      <c r="L26" s="443"/>
      <c r="M26" s="443"/>
      <c r="N26" s="443"/>
      <c r="O26" s="119"/>
      <c r="P26" s="119"/>
      <c r="Q26" s="119"/>
      <c r="R26" s="119"/>
      <c r="S26" s="121"/>
      <c r="T26" s="119"/>
      <c r="U26" s="119"/>
      <c r="V26" s="119"/>
      <c r="W26" s="119"/>
      <c r="X26" s="119"/>
      <c r="Y26" s="119"/>
      <c r="Z26" s="119"/>
    </row>
    <row r="27" spans="1:26" ht="14.25" customHeight="1">
      <c r="A27" s="10"/>
      <c r="B27" s="12" t="str">
        <f t="shared" ref="B27" si="13">B17</f>
        <v>Solar irradiation [kWh/m² day]:</v>
      </c>
      <c r="C27" s="443">
        <v>5.4</v>
      </c>
      <c r="D27" s="443">
        <v>5.9</v>
      </c>
      <c r="E27" s="443">
        <v>6.9</v>
      </c>
      <c r="F27" s="443">
        <v>6.6</v>
      </c>
      <c r="G27" s="443">
        <v>6.4</v>
      </c>
      <c r="H27" s="443">
        <v>6.1</v>
      </c>
      <c r="I27" s="443">
        <v>5.8</v>
      </c>
      <c r="J27" s="443">
        <v>5.6</v>
      </c>
      <c r="K27" s="443">
        <v>5.8</v>
      </c>
      <c r="L27" s="443">
        <v>5.8</v>
      </c>
      <c r="M27" s="443">
        <v>5.7</v>
      </c>
      <c r="N27" s="443">
        <v>5.4</v>
      </c>
      <c r="O27" s="10"/>
      <c r="P27" s="10"/>
      <c r="Q27" s="10"/>
      <c r="R27" s="10"/>
      <c r="S27" s="23" t="str">
        <f>B59</f>
        <v>+++ Add location +++</v>
      </c>
      <c r="T27" s="10"/>
      <c r="U27" s="10"/>
      <c r="V27" s="10"/>
      <c r="W27" s="10"/>
      <c r="X27" s="10"/>
      <c r="Y27" s="10"/>
      <c r="Z27" s="10"/>
    </row>
    <row r="28" spans="1:26" ht="14.25" customHeight="1">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row>
    <row r="29" spans="1:26" ht="14.25" customHeight="1">
      <c r="A29" s="10"/>
      <c r="B29" s="442" t="s">
        <v>2</v>
      </c>
      <c r="C29" s="12" t="str">
        <f t="shared" ref="C29:N29" si="14">C14</f>
        <v>January</v>
      </c>
      <c r="D29" s="12" t="str">
        <f t="shared" si="14"/>
        <v>February</v>
      </c>
      <c r="E29" s="12" t="str">
        <f t="shared" si="14"/>
        <v>March</v>
      </c>
      <c r="F29" s="12" t="str">
        <f t="shared" si="14"/>
        <v>April</v>
      </c>
      <c r="G29" s="12" t="str">
        <f t="shared" si="14"/>
        <v>May</v>
      </c>
      <c r="H29" s="12" t="str">
        <f t="shared" si="14"/>
        <v>June</v>
      </c>
      <c r="I29" s="12" t="str">
        <f t="shared" si="14"/>
        <v>July</v>
      </c>
      <c r="J29" s="12" t="str">
        <f t="shared" si="14"/>
        <v>August</v>
      </c>
      <c r="K29" s="12" t="str">
        <f t="shared" si="14"/>
        <v>September</v>
      </c>
      <c r="L29" s="12" t="str">
        <f t="shared" si="14"/>
        <v>October</v>
      </c>
      <c r="M29" s="12" t="str">
        <f t="shared" si="14"/>
        <v>November</v>
      </c>
      <c r="N29" s="12" t="str">
        <f t="shared" si="14"/>
        <v>December</v>
      </c>
      <c r="O29" s="10"/>
      <c r="P29" s="10"/>
      <c r="Q29" s="10"/>
      <c r="R29" s="10"/>
      <c r="S29" s="10"/>
      <c r="T29" s="10"/>
      <c r="U29" s="10"/>
      <c r="V29" s="10"/>
      <c r="W29" s="10"/>
      <c r="X29" s="10"/>
      <c r="Y29" s="10"/>
      <c r="Z29" s="10"/>
    </row>
    <row r="30" spans="1:26" ht="14.25" customHeight="1">
      <c r="A30" s="10"/>
      <c r="B30" s="12" t="str">
        <f>B15</f>
        <v>Mean daily temperature [°C]:</v>
      </c>
      <c r="C30" s="443">
        <v>21.1</v>
      </c>
      <c r="D30" s="443">
        <v>20.6</v>
      </c>
      <c r="E30" s="443">
        <v>20.3</v>
      </c>
      <c r="F30" s="443">
        <v>19.899999999999999</v>
      </c>
      <c r="G30" s="443">
        <v>20</v>
      </c>
      <c r="H30" s="443">
        <v>20.2</v>
      </c>
      <c r="I30" s="443">
        <v>20.9</v>
      </c>
      <c r="J30" s="443">
        <v>21.8</v>
      </c>
      <c r="K30" s="443">
        <v>20.8</v>
      </c>
      <c r="L30" s="443">
        <v>19.899999999999999</v>
      </c>
      <c r="M30" s="443">
        <v>19.3</v>
      </c>
      <c r="N30" s="443">
        <v>18.899999999999999</v>
      </c>
      <c r="O30" s="10"/>
      <c r="P30" s="10"/>
      <c r="Q30" s="10"/>
      <c r="R30" s="10"/>
      <c r="S30" s="10"/>
      <c r="T30" s="10"/>
      <c r="U30" s="10"/>
      <c r="V30" s="10"/>
      <c r="W30" s="10"/>
      <c r="X30" s="10"/>
      <c r="Y30" s="10"/>
      <c r="Z30" s="10"/>
    </row>
    <row r="31" spans="1:26" ht="14.25" customHeight="1">
      <c r="A31" s="119"/>
      <c r="B31" s="120" t="s">
        <v>389</v>
      </c>
      <c r="C31" s="443"/>
      <c r="D31" s="443"/>
      <c r="E31" s="443"/>
      <c r="F31" s="443"/>
      <c r="G31" s="443"/>
      <c r="H31" s="443"/>
      <c r="I31" s="443"/>
      <c r="J31" s="443"/>
      <c r="K31" s="443"/>
      <c r="L31" s="443"/>
      <c r="M31" s="443"/>
      <c r="N31" s="443"/>
      <c r="O31" s="119"/>
      <c r="P31" s="119"/>
      <c r="Q31" s="119"/>
      <c r="R31" s="119"/>
      <c r="S31" s="119"/>
      <c r="T31" s="119"/>
      <c r="U31" s="119"/>
      <c r="V31" s="119"/>
      <c r="W31" s="119"/>
      <c r="X31" s="119"/>
      <c r="Y31" s="119"/>
      <c r="Z31" s="119"/>
    </row>
    <row r="32" spans="1:26" ht="14.25" customHeight="1">
      <c r="A32" s="10"/>
      <c r="B32" s="12" t="str">
        <f t="shared" ref="B32" si="15">B17</f>
        <v>Solar irradiation [kWh/m² day]:</v>
      </c>
      <c r="C32" s="445">
        <v>4.7855737704918004</v>
      </c>
      <c r="D32" s="445">
        <v>5.2885245901639344</v>
      </c>
      <c r="E32" s="445">
        <v>5.5029508196721313</v>
      </c>
      <c r="F32" s="445">
        <v>4.5672131147540984</v>
      </c>
      <c r="G32" s="445">
        <v>5.2655737704918035</v>
      </c>
      <c r="H32" s="445">
        <v>4.9170491803278686</v>
      </c>
      <c r="I32" s="445">
        <v>5.412786885245902</v>
      </c>
      <c r="J32" s="445">
        <v>5.8016393442622949</v>
      </c>
      <c r="K32" s="445">
        <v>5.4281967213114752</v>
      </c>
      <c r="L32" s="445">
        <v>4.634098360655738</v>
      </c>
      <c r="M32" s="445">
        <v>4.8777049180327872</v>
      </c>
      <c r="N32" s="445">
        <v>5.3544262295081966</v>
      </c>
      <c r="O32" s="10"/>
      <c r="P32" s="10"/>
      <c r="Q32" s="10"/>
      <c r="R32" s="10"/>
      <c r="S32" s="10"/>
      <c r="T32" s="10"/>
      <c r="U32" s="10"/>
      <c r="V32" s="10"/>
      <c r="W32" s="10"/>
      <c r="X32" s="10"/>
      <c r="Y32" s="10"/>
      <c r="Z32" s="10"/>
    </row>
    <row r="33" spans="1:26" ht="14.25" customHeight="1">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row>
    <row r="34" spans="1:26" ht="14.25" customHeight="1">
      <c r="A34" s="10"/>
      <c r="B34" s="442" t="s">
        <v>37</v>
      </c>
      <c r="C34" s="12" t="str">
        <f t="shared" ref="C34:N34" si="16">C14</f>
        <v>January</v>
      </c>
      <c r="D34" s="12" t="str">
        <f t="shared" si="16"/>
        <v>February</v>
      </c>
      <c r="E34" s="12" t="str">
        <f t="shared" si="16"/>
        <v>March</v>
      </c>
      <c r="F34" s="12" t="str">
        <f t="shared" si="16"/>
        <v>April</v>
      </c>
      <c r="G34" s="12" t="str">
        <f t="shared" si="16"/>
        <v>May</v>
      </c>
      <c r="H34" s="12" t="str">
        <f t="shared" si="16"/>
        <v>June</v>
      </c>
      <c r="I34" s="12" t="str">
        <f t="shared" si="16"/>
        <v>July</v>
      </c>
      <c r="J34" s="12" t="str">
        <f t="shared" si="16"/>
        <v>August</v>
      </c>
      <c r="K34" s="12" t="str">
        <f t="shared" si="16"/>
        <v>September</v>
      </c>
      <c r="L34" s="12" t="str">
        <f t="shared" si="16"/>
        <v>October</v>
      </c>
      <c r="M34" s="12" t="str">
        <f t="shared" si="16"/>
        <v>November</v>
      </c>
      <c r="N34" s="12" t="str">
        <f t="shared" si="16"/>
        <v>December</v>
      </c>
      <c r="O34" s="10"/>
      <c r="P34" s="10"/>
      <c r="Q34" s="10"/>
      <c r="R34" s="10"/>
      <c r="S34" s="10"/>
      <c r="T34" s="10"/>
      <c r="U34" s="10"/>
      <c r="V34" s="10"/>
      <c r="W34" s="10"/>
      <c r="X34" s="10"/>
      <c r="Y34" s="10"/>
      <c r="Z34" s="10"/>
    </row>
    <row r="35" spans="1:26" ht="14.25" customHeight="1">
      <c r="A35" s="10"/>
      <c r="B35" s="12" t="str">
        <f>B15</f>
        <v>Mean daily temperature [°C]:</v>
      </c>
      <c r="C35" s="443">
        <v>27.2</v>
      </c>
      <c r="D35" s="443">
        <v>28.5</v>
      </c>
      <c r="E35" s="443">
        <v>29.4</v>
      </c>
      <c r="F35" s="443">
        <v>29.2</v>
      </c>
      <c r="G35" s="443">
        <v>27.8</v>
      </c>
      <c r="H35" s="443">
        <v>25.9</v>
      </c>
      <c r="I35" s="443">
        <v>24.2</v>
      </c>
      <c r="J35" s="443">
        <v>24.4</v>
      </c>
      <c r="K35" s="443">
        <v>24.1</v>
      </c>
      <c r="L35" s="443">
        <v>25.5</v>
      </c>
      <c r="M35" s="443">
        <v>27.4</v>
      </c>
      <c r="N35" s="443">
        <v>26.9</v>
      </c>
      <c r="O35" s="10"/>
      <c r="P35" s="10"/>
      <c r="Q35" s="10"/>
      <c r="R35" s="10"/>
      <c r="S35" s="10"/>
      <c r="T35" s="10"/>
      <c r="U35" s="10"/>
      <c r="V35" s="10"/>
      <c r="W35" s="10"/>
      <c r="X35" s="10"/>
      <c r="Y35" s="10"/>
      <c r="Z35" s="10"/>
    </row>
    <row r="36" spans="1:26" ht="14.25" customHeight="1">
      <c r="A36" s="119"/>
      <c r="B36" s="120" t="s">
        <v>389</v>
      </c>
      <c r="C36" s="443"/>
      <c r="D36" s="443"/>
      <c r="E36" s="443"/>
      <c r="F36" s="443"/>
      <c r="G36" s="443"/>
      <c r="H36" s="443"/>
      <c r="I36" s="443"/>
      <c r="J36" s="443"/>
      <c r="K36" s="443"/>
      <c r="L36" s="443"/>
      <c r="M36" s="443"/>
      <c r="N36" s="443"/>
      <c r="O36" s="119"/>
      <c r="P36" s="119"/>
      <c r="Q36" s="119"/>
      <c r="R36" s="119"/>
      <c r="S36" s="119"/>
      <c r="T36" s="119"/>
      <c r="U36" s="119"/>
      <c r="V36" s="119"/>
      <c r="W36" s="119"/>
      <c r="X36" s="119"/>
      <c r="Y36" s="119"/>
      <c r="Z36" s="119"/>
    </row>
    <row r="37" spans="1:26" ht="14.25" customHeight="1">
      <c r="A37" s="10"/>
      <c r="B37" s="12" t="str">
        <f t="shared" ref="B37" si="17">B17</f>
        <v>Solar irradiation [kWh/m² day]:</v>
      </c>
      <c r="C37" s="443">
        <f>192/31</f>
        <v>6.193548387096774</v>
      </c>
      <c r="D37" s="443">
        <f>194/30</f>
        <v>6.4666666666666668</v>
      </c>
      <c r="E37" s="443">
        <f>191.93/31</f>
        <v>6.1912903225806453</v>
      </c>
      <c r="F37" s="443">
        <f>190.4/30</f>
        <v>6.3466666666666667</v>
      </c>
      <c r="G37" s="443">
        <f>176.7/31</f>
        <v>5.6999999999999993</v>
      </c>
      <c r="H37" s="443">
        <f>152.2/30</f>
        <v>5.0733333333333333</v>
      </c>
      <c r="I37" s="443">
        <f>135.74731/31</f>
        <v>4.378945483870968</v>
      </c>
      <c r="J37" s="443">
        <f>135.4/30</f>
        <v>4.5133333333333336</v>
      </c>
      <c r="K37" s="443">
        <f>136.8/31</f>
        <v>4.4129032258064518</v>
      </c>
      <c r="L37" s="443">
        <f>178.75/31</f>
        <v>5.7661290322580649</v>
      </c>
      <c r="M37" s="443">
        <f>186/30</f>
        <v>6.2</v>
      </c>
      <c r="N37" s="443">
        <f>187/31</f>
        <v>6.032258064516129</v>
      </c>
      <c r="O37" s="10"/>
      <c r="P37" s="10"/>
      <c r="Q37" s="10"/>
      <c r="R37" s="10"/>
      <c r="S37" s="10"/>
      <c r="T37" s="10"/>
      <c r="U37" s="10"/>
      <c r="V37" s="10"/>
      <c r="W37" s="10"/>
      <c r="X37" s="10"/>
      <c r="Y37" s="10"/>
      <c r="Z37" s="10"/>
    </row>
    <row r="38" spans="1:26" ht="14.25" customHeight="1">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row>
    <row r="39" spans="1:26" ht="14.25" customHeight="1">
      <c r="A39" s="10"/>
      <c r="B39" s="442" t="s">
        <v>38</v>
      </c>
      <c r="C39" s="12" t="str">
        <f t="shared" ref="C39:N39" si="18">C14</f>
        <v>January</v>
      </c>
      <c r="D39" s="12" t="str">
        <f t="shared" si="18"/>
        <v>February</v>
      </c>
      <c r="E39" s="12" t="str">
        <f t="shared" si="18"/>
        <v>March</v>
      </c>
      <c r="F39" s="12" t="str">
        <f t="shared" si="18"/>
        <v>April</v>
      </c>
      <c r="G39" s="12" t="str">
        <f t="shared" si="18"/>
        <v>May</v>
      </c>
      <c r="H39" s="12" t="str">
        <f t="shared" si="18"/>
        <v>June</v>
      </c>
      <c r="I39" s="12" t="str">
        <f t="shared" si="18"/>
        <v>July</v>
      </c>
      <c r="J39" s="12" t="str">
        <f t="shared" si="18"/>
        <v>August</v>
      </c>
      <c r="K39" s="12" t="str">
        <f t="shared" si="18"/>
        <v>September</v>
      </c>
      <c r="L39" s="12" t="str">
        <f t="shared" si="18"/>
        <v>October</v>
      </c>
      <c r="M39" s="12" t="str">
        <f t="shared" si="18"/>
        <v>November</v>
      </c>
      <c r="N39" s="12" t="str">
        <f t="shared" si="18"/>
        <v>December</v>
      </c>
      <c r="O39" s="10"/>
      <c r="P39" s="10"/>
      <c r="Q39" s="10"/>
      <c r="R39" s="10"/>
      <c r="S39" s="10"/>
      <c r="T39" s="10"/>
      <c r="U39" s="10"/>
      <c r="V39" s="10"/>
      <c r="W39" s="10"/>
      <c r="X39" s="10"/>
      <c r="Y39" s="10"/>
      <c r="Z39" s="10"/>
    </row>
    <row r="40" spans="1:26" ht="14.25" customHeight="1">
      <c r="A40" s="10"/>
      <c r="B40" s="12" t="str">
        <f>B15</f>
        <v>Mean daily temperature [°C]:</v>
      </c>
      <c r="C40" s="443">
        <v>27.9</v>
      </c>
      <c r="D40" s="443">
        <v>28.2</v>
      </c>
      <c r="E40" s="443">
        <v>28.2</v>
      </c>
      <c r="F40" s="443">
        <v>27.8</v>
      </c>
      <c r="G40" s="443">
        <v>26.6</v>
      </c>
      <c r="H40" s="443">
        <v>25.6</v>
      </c>
      <c r="I40" s="443">
        <v>24.9</v>
      </c>
      <c r="J40" s="443">
        <v>24.7</v>
      </c>
      <c r="K40" s="443">
        <v>25.3</v>
      </c>
      <c r="L40" s="443">
        <v>26.3</v>
      </c>
      <c r="M40" s="443">
        <v>27.3</v>
      </c>
      <c r="N40" s="443">
        <v>26.6</v>
      </c>
      <c r="O40" s="10"/>
      <c r="P40" s="10"/>
      <c r="Q40" s="10"/>
      <c r="R40" s="10"/>
      <c r="S40" s="10"/>
      <c r="T40" s="10"/>
      <c r="U40" s="10"/>
      <c r="V40" s="10"/>
      <c r="W40" s="10"/>
      <c r="X40" s="10"/>
      <c r="Y40" s="10"/>
      <c r="Z40" s="10"/>
    </row>
    <row r="41" spans="1:26" ht="14.25" customHeight="1">
      <c r="A41" s="119"/>
      <c r="B41" s="120" t="s">
        <v>389</v>
      </c>
      <c r="C41" s="443"/>
      <c r="D41" s="443"/>
      <c r="E41" s="443"/>
      <c r="F41" s="443"/>
      <c r="G41" s="443"/>
      <c r="H41" s="443"/>
      <c r="I41" s="443"/>
      <c r="J41" s="443"/>
      <c r="K41" s="443"/>
      <c r="L41" s="443"/>
      <c r="M41" s="443"/>
      <c r="N41" s="443"/>
      <c r="O41" s="119"/>
      <c r="P41" s="119"/>
      <c r="Q41" s="119"/>
      <c r="R41" s="119"/>
      <c r="S41" s="119"/>
      <c r="T41" s="119"/>
      <c r="U41" s="119"/>
      <c r="V41" s="119"/>
      <c r="W41" s="119"/>
      <c r="X41" s="119"/>
      <c r="Y41" s="119"/>
      <c r="Z41" s="119"/>
    </row>
    <row r="42" spans="1:26" ht="14.25" customHeight="1">
      <c r="A42" s="10"/>
      <c r="B42" s="12" t="str">
        <f t="shared" ref="B42" si="19">B17</f>
        <v>Solar irradiation [kWh/m² day]:</v>
      </c>
      <c r="C42" s="443">
        <f>185.8/31</f>
        <v>5.9935483870967747</v>
      </c>
      <c r="D42" s="443">
        <f>166.2/30</f>
        <v>5.54</v>
      </c>
      <c r="E42" s="443">
        <f>186/31</f>
        <v>6</v>
      </c>
      <c r="F42" s="443">
        <f>168.8/30</f>
        <v>5.6266666666666669</v>
      </c>
      <c r="G42" s="443">
        <f>163.13/31</f>
        <v>5.2622580645161285</v>
      </c>
      <c r="H42" s="443">
        <f>119/30</f>
        <v>3.9666666666666668</v>
      </c>
      <c r="I42" s="443">
        <f>122/31</f>
        <v>3.935483870967742</v>
      </c>
      <c r="J42" s="443">
        <f>159/30</f>
        <v>5.3</v>
      </c>
      <c r="K42" s="443">
        <f>153.59/31</f>
        <v>4.9545161290322586</v>
      </c>
      <c r="L42" s="443">
        <f>161/30</f>
        <v>5.3666666666666663</v>
      </c>
      <c r="M42" s="443">
        <f>170.7/31</f>
        <v>5.5064516129032253</v>
      </c>
      <c r="N42" s="443">
        <f>174.5/31</f>
        <v>5.629032258064516</v>
      </c>
      <c r="O42" s="10"/>
      <c r="P42" s="10"/>
      <c r="Q42" s="10"/>
      <c r="R42" s="10"/>
      <c r="S42" s="10"/>
      <c r="T42" s="10"/>
      <c r="U42" s="10"/>
      <c r="V42" s="10"/>
      <c r="W42" s="10"/>
      <c r="X42" s="10"/>
      <c r="Y42" s="10"/>
      <c r="Z42" s="10"/>
    </row>
    <row r="43" spans="1:26" ht="14.25" customHeight="1">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row>
    <row r="44" spans="1:26" ht="14.25" customHeight="1">
      <c r="A44" s="10"/>
      <c r="B44" s="442" t="s">
        <v>39</v>
      </c>
      <c r="C44" s="12" t="str">
        <f t="shared" ref="C44:N44" si="20">C14</f>
        <v>January</v>
      </c>
      <c r="D44" s="12" t="str">
        <f t="shared" si="20"/>
        <v>February</v>
      </c>
      <c r="E44" s="12" t="str">
        <f t="shared" si="20"/>
        <v>March</v>
      </c>
      <c r="F44" s="12" t="str">
        <f t="shared" si="20"/>
        <v>April</v>
      </c>
      <c r="G44" s="12" t="str">
        <f t="shared" si="20"/>
        <v>May</v>
      </c>
      <c r="H44" s="12" t="str">
        <f t="shared" si="20"/>
        <v>June</v>
      </c>
      <c r="I44" s="12" t="str">
        <f t="shared" si="20"/>
        <v>July</v>
      </c>
      <c r="J44" s="12" t="str">
        <f t="shared" si="20"/>
        <v>August</v>
      </c>
      <c r="K44" s="12" t="str">
        <f t="shared" si="20"/>
        <v>September</v>
      </c>
      <c r="L44" s="12" t="str">
        <f t="shared" si="20"/>
        <v>October</v>
      </c>
      <c r="M44" s="12" t="str">
        <f t="shared" si="20"/>
        <v>November</v>
      </c>
      <c r="N44" s="12" t="str">
        <f t="shared" si="20"/>
        <v>December</v>
      </c>
      <c r="O44" s="10"/>
      <c r="P44" s="10"/>
      <c r="Q44" s="10"/>
      <c r="R44" s="10"/>
      <c r="S44" s="10"/>
      <c r="T44" s="10"/>
      <c r="U44" s="10"/>
      <c r="V44" s="10"/>
      <c r="W44" s="10"/>
      <c r="X44" s="10"/>
      <c r="Y44" s="10"/>
      <c r="Z44" s="10"/>
    </row>
    <row r="45" spans="1:26" ht="14.25" customHeight="1">
      <c r="A45" s="10"/>
      <c r="B45" s="12" t="str">
        <f>B15</f>
        <v>Mean daily temperature [°C]:</v>
      </c>
      <c r="C45" s="443">
        <v>27</v>
      </c>
      <c r="D45" s="443">
        <v>26.3</v>
      </c>
      <c r="E45" s="443">
        <v>27.2</v>
      </c>
      <c r="F45" s="443">
        <v>28.2</v>
      </c>
      <c r="G45" s="443">
        <v>27.2</v>
      </c>
      <c r="H45" s="443">
        <v>25.9</v>
      </c>
      <c r="I45" s="443">
        <v>24.7</v>
      </c>
      <c r="J45" s="443">
        <v>24.6</v>
      </c>
      <c r="K45" s="443">
        <v>25.5</v>
      </c>
      <c r="L45" s="443">
        <v>26</v>
      </c>
      <c r="M45" s="443">
        <v>26.3</v>
      </c>
      <c r="N45" s="443">
        <v>25.7</v>
      </c>
      <c r="O45" s="10"/>
      <c r="P45" s="10"/>
      <c r="Q45" s="10"/>
      <c r="R45" s="10"/>
      <c r="S45" s="10"/>
      <c r="T45" s="10"/>
      <c r="U45" s="10"/>
      <c r="V45" s="10"/>
      <c r="W45" s="10"/>
      <c r="X45" s="10"/>
      <c r="Y45" s="10"/>
      <c r="Z45" s="10"/>
    </row>
    <row r="46" spans="1:26" ht="14.25" customHeight="1">
      <c r="A46" s="119"/>
      <c r="B46" s="120" t="s">
        <v>389</v>
      </c>
      <c r="C46" s="443"/>
      <c r="D46" s="443"/>
      <c r="E46" s="443"/>
      <c r="F46" s="443"/>
      <c r="G46" s="443"/>
      <c r="H46" s="443"/>
      <c r="I46" s="443"/>
      <c r="J46" s="443"/>
      <c r="K46" s="443"/>
      <c r="L46" s="443"/>
      <c r="M46" s="443"/>
      <c r="N46" s="443"/>
      <c r="O46" s="119"/>
      <c r="P46" s="119"/>
      <c r="Q46" s="119"/>
      <c r="R46" s="119"/>
      <c r="S46" s="119"/>
      <c r="T46" s="119"/>
      <c r="U46" s="119"/>
      <c r="V46" s="119"/>
      <c r="W46" s="119"/>
      <c r="X46" s="119"/>
      <c r="Y46" s="119"/>
      <c r="Z46" s="119"/>
    </row>
    <row r="47" spans="1:26" ht="14.25" customHeight="1">
      <c r="A47" s="10"/>
      <c r="B47" s="12" t="str">
        <f t="shared" ref="B47" si="21">B17</f>
        <v>Solar irradiation [kWh/m² day]:</v>
      </c>
      <c r="C47" s="443">
        <f>215/31</f>
        <v>6.935483870967742</v>
      </c>
      <c r="D47" s="443">
        <f>203/30</f>
        <v>6.7666666666666666</v>
      </c>
      <c r="E47" s="443">
        <f>224/31</f>
        <v>7.225806451612903</v>
      </c>
      <c r="F47" s="443">
        <f>201/30</f>
        <v>6.7</v>
      </c>
      <c r="G47" s="443">
        <f>184/31</f>
        <v>5.935483870967742</v>
      </c>
      <c r="H47" s="443">
        <f>177/30</f>
        <v>5.9</v>
      </c>
      <c r="I47" s="443">
        <f>177/31</f>
        <v>5.709677419354839</v>
      </c>
      <c r="J47" s="443">
        <f>198/30</f>
        <v>6.6</v>
      </c>
      <c r="K47" s="443">
        <f>207/31</f>
        <v>6.67741935483871</v>
      </c>
      <c r="L47" s="443">
        <f>205/30</f>
        <v>6.833333333333333</v>
      </c>
      <c r="M47" s="443">
        <f>195/31</f>
        <v>6.290322580645161</v>
      </c>
      <c r="N47" s="443">
        <f>208/31</f>
        <v>6.709677419354839</v>
      </c>
      <c r="O47" s="10"/>
      <c r="P47" s="10"/>
      <c r="Q47" s="10"/>
      <c r="R47" s="10"/>
      <c r="S47" s="10"/>
      <c r="T47" s="10"/>
      <c r="U47" s="10"/>
      <c r="V47" s="10"/>
      <c r="W47" s="10"/>
      <c r="X47" s="10"/>
      <c r="Y47" s="10"/>
      <c r="Z47" s="10"/>
    </row>
    <row r="48" spans="1:26" ht="14.25" customHeight="1">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row>
    <row r="49" spans="1:26" ht="14.25" customHeight="1">
      <c r="A49" s="10"/>
      <c r="B49" s="442" t="s">
        <v>394</v>
      </c>
      <c r="C49" s="12" t="str">
        <f t="shared" ref="C49:N49" si="22">C14</f>
        <v>January</v>
      </c>
      <c r="D49" s="12" t="str">
        <f t="shared" si="22"/>
        <v>February</v>
      </c>
      <c r="E49" s="12" t="str">
        <f t="shared" si="22"/>
        <v>March</v>
      </c>
      <c r="F49" s="12" t="str">
        <f t="shared" si="22"/>
        <v>April</v>
      </c>
      <c r="G49" s="12" t="str">
        <f t="shared" si="22"/>
        <v>May</v>
      </c>
      <c r="H49" s="12" t="str">
        <f t="shared" si="22"/>
        <v>June</v>
      </c>
      <c r="I49" s="12" t="str">
        <f t="shared" si="22"/>
        <v>July</v>
      </c>
      <c r="J49" s="12" t="str">
        <f t="shared" si="22"/>
        <v>August</v>
      </c>
      <c r="K49" s="12" t="str">
        <f t="shared" si="22"/>
        <v>September</v>
      </c>
      <c r="L49" s="12" t="str">
        <f t="shared" si="22"/>
        <v>October</v>
      </c>
      <c r="M49" s="12" t="str">
        <f t="shared" si="22"/>
        <v>November</v>
      </c>
      <c r="N49" s="12" t="str">
        <f t="shared" si="22"/>
        <v>December</v>
      </c>
      <c r="O49" s="10"/>
      <c r="P49" s="10"/>
      <c r="Q49" s="10"/>
      <c r="R49" s="10"/>
      <c r="S49" s="10"/>
      <c r="T49" s="10"/>
      <c r="U49" s="10"/>
      <c r="V49" s="10"/>
      <c r="W49" s="10"/>
      <c r="X49" s="10"/>
      <c r="Y49" s="10"/>
      <c r="Z49" s="10"/>
    </row>
    <row r="50" spans="1:26" ht="14.25" customHeight="1">
      <c r="A50" s="10"/>
      <c r="B50" s="12" t="str">
        <f>B15</f>
        <v>Mean daily temperature [°C]:</v>
      </c>
      <c r="C50" s="446">
        <v>24.5</v>
      </c>
      <c r="D50" s="446">
        <v>25.8</v>
      </c>
      <c r="E50" s="446">
        <v>23.7</v>
      </c>
      <c r="F50" s="446">
        <v>24</v>
      </c>
      <c r="G50" s="446">
        <v>22.1</v>
      </c>
      <c r="H50" s="446">
        <v>22.4</v>
      </c>
      <c r="I50" s="446">
        <v>22.6</v>
      </c>
      <c r="J50" s="446">
        <v>22.5</v>
      </c>
      <c r="K50" s="446">
        <v>23.5</v>
      </c>
      <c r="L50" s="446">
        <v>23.2</v>
      </c>
      <c r="M50" s="446">
        <v>23.6</v>
      </c>
      <c r="N50" s="446">
        <v>24</v>
      </c>
      <c r="O50" s="10"/>
      <c r="P50" s="10"/>
      <c r="Q50" s="10"/>
      <c r="R50" s="10"/>
      <c r="S50" s="10"/>
      <c r="T50" s="10"/>
      <c r="U50" s="10"/>
      <c r="V50" s="10"/>
      <c r="W50" s="10"/>
      <c r="X50" s="10"/>
      <c r="Y50" s="10"/>
      <c r="Z50" s="10"/>
    </row>
    <row r="51" spans="1:26" ht="14.25" customHeight="1">
      <c r="A51" s="119"/>
      <c r="B51" s="120" t="s">
        <v>389</v>
      </c>
      <c r="C51" s="447">
        <v>211.16</v>
      </c>
      <c r="D51" s="447">
        <v>198.19</v>
      </c>
      <c r="E51" s="447">
        <v>207.97</v>
      </c>
      <c r="F51" s="447">
        <v>186.97</v>
      </c>
      <c r="G51" s="447">
        <v>175.7</v>
      </c>
      <c r="H51" s="447">
        <v>169</v>
      </c>
      <c r="I51" s="447">
        <v>172.98</v>
      </c>
      <c r="J51" s="447">
        <v>197.37</v>
      </c>
      <c r="K51" s="447">
        <v>182.79</v>
      </c>
      <c r="L51" s="447">
        <v>202.07</v>
      </c>
      <c r="M51" s="447">
        <v>187.83</v>
      </c>
      <c r="N51" s="447">
        <v>207.98</v>
      </c>
      <c r="O51" s="119"/>
      <c r="P51" s="119"/>
      <c r="Q51" s="119"/>
      <c r="R51" s="119"/>
      <c r="S51" s="119"/>
      <c r="T51" s="119"/>
      <c r="U51" s="119"/>
      <c r="V51" s="119"/>
      <c r="W51" s="119"/>
      <c r="X51" s="119"/>
      <c r="Y51" s="119"/>
      <c r="Z51" s="119"/>
    </row>
    <row r="52" spans="1:26" ht="14.25" customHeight="1">
      <c r="A52" s="10"/>
      <c r="B52" s="12" t="str">
        <f t="shared" ref="B52" si="23">B17</f>
        <v>Solar irradiation [kWh/m² day]:</v>
      </c>
      <c r="C52" s="443">
        <f>C51/31</f>
        <v>6.8116129032258064</v>
      </c>
      <c r="D52" s="443">
        <f>D51/28</f>
        <v>7.078214285714286</v>
      </c>
      <c r="E52" s="443">
        <f>E51/31</f>
        <v>6.7087096774193551</v>
      </c>
      <c r="F52" s="443">
        <f>F51/30</f>
        <v>6.2323333333333331</v>
      </c>
      <c r="G52" s="443">
        <f>G51/31</f>
        <v>5.6677419354838703</v>
      </c>
      <c r="H52" s="443">
        <f>H51/30</f>
        <v>5.6333333333333337</v>
      </c>
      <c r="I52" s="443">
        <f t="shared" ref="I52" si="24">I51/31</f>
        <v>5.58</v>
      </c>
      <c r="J52" s="443">
        <f>J51/31</f>
        <v>6.3667741935483875</v>
      </c>
      <c r="K52" s="443">
        <f>K51/30</f>
        <v>6.093</v>
      </c>
      <c r="L52" s="443">
        <f t="shared" ref="L52" si="25">L51/31</f>
        <v>6.5183870967741937</v>
      </c>
      <c r="M52" s="443">
        <f>M51/30</f>
        <v>6.2610000000000001</v>
      </c>
      <c r="N52" s="443">
        <f t="shared" ref="N52" si="26">N51/31</f>
        <v>6.7090322580645161</v>
      </c>
      <c r="O52" s="10"/>
      <c r="P52" s="10"/>
      <c r="Q52" s="10"/>
      <c r="R52" s="10"/>
      <c r="S52" s="10"/>
      <c r="T52" s="10"/>
      <c r="U52" s="10"/>
      <c r="V52" s="10"/>
      <c r="W52" s="10"/>
      <c r="X52" s="10"/>
      <c r="Y52" s="10"/>
      <c r="Z52" s="10"/>
    </row>
    <row r="53" spans="1:26" ht="14.25" customHeight="1">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row>
    <row r="54" spans="1:26" ht="14.25" customHeight="1">
      <c r="A54" s="10"/>
      <c r="B54" s="442" t="s">
        <v>395</v>
      </c>
      <c r="C54" s="12" t="str">
        <f t="shared" ref="C54:N54" si="27">C14</f>
        <v>January</v>
      </c>
      <c r="D54" s="12" t="str">
        <f t="shared" si="27"/>
        <v>February</v>
      </c>
      <c r="E54" s="12" t="str">
        <f t="shared" si="27"/>
        <v>March</v>
      </c>
      <c r="F54" s="12" t="str">
        <f t="shared" si="27"/>
        <v>April</v>
      </c>
      <c r="G54" s="12" t="str">
        <f t="shared" si="27"/>
        <v>May</v>
      </c>
      <c r="H54" s="12" t="str">
        <f t="shared" si="27"/>
        <v>June</v>
      </c>
      <c r="I54" s="12" t="str">
        <f t="shared" si="27"/>
        <v>July</v>
      </c>
      <c r="J54" s="12" t="str">
        <f t="shared" si="27"/>
        <v>August</v>
      </c>
      <c r="K54" s="12" t="str">
        <f t="shared" si="27"/>
        <v>September</v>
      </c>
      <c r="L54" s="12" t="str">
        <f t="shared" si="27"/>
        <v>October</v>
      </c>
      <c r="M54" s="12" t="str">
        <f t="shared" si="27"/>
        <v>November</v>
      </c>
      <c r="N54" s="12" t="str">
        <f t="shared" si="27"/>
        <v>December</v>
      </c>
      <c r="O54" s="10"/>
      <c r="P54" s="10"/>
      <c r="Q54" s="10"/>
      <c r="R54" s="10"/>
      <c r="S54" s="10"/>
      <c r="T54" s="10"/>
      <c r="U54" s="10"/>
      <c r="V54" s="10"/>
      <c r="W54" s="10"/>
      <c r="X54" s="10"/>
      <c r="Y54" s="10"/>
      <c r="Z54" s="10"/>
    </row>
    <row r="55" spans="1:26" ht="14.25" customHeight="1">
      <c r="A55" s="10"/>
      <c r="B55" s="12" t="str">
        <f>B15</f>
        <v>Mean daily temperature [°C]:</v>
      </c>
      <c r="C55" s="446">
        <v>29.1</v>
      </c>
      <c r="D55" s="446">
        <v>30</v>
      </c>
      <c r="E55" s="446">
        <v>32.6</v>
      </c>
      <c r="F55" s="446">
        <v>31.9</v>
      </c>
      <c r="G55" s="446">
        <v>30.7</v>
      </c>
      <c r="H55" s="446">
        <v>28.3</v>
      </c>
      <c r="I55" s="446">
        <v>25.8</v>
      </c>
      <c r="J55" s="446">
        <v>26.1</v>
      </c>
      <c r="K55" s="446">
        <v>25.6</v>
      </c>
      <c r="L55" s="446">
        <v>26.9</v>
      </c>
      <c r="M55" s="446">
        <v>28.4</v>
      </c>
      <c r="N55" s="446">
        <v>27.8</v>
      </c>
      <c r="O55" s="10"/>
      <c r="P55" s="10"/>
      <c r="Q55" s="10"/>
      <c r="R55" s="10"/>
      <c r="S55" s="10"/>
      <c r="T55" s="10"/>
      <c r="U55" s="10"/>
      <c r="V55" s="10"/>
      <c r="W55" s="10"/>
      <c r="X55" s="10"/>
      <c r="Y55" s="10"/>
      <c r="Z55" s="10"/>
    </row>
    <row r="56" spans="1:26" ht="14.25" customHeight="1">
      <c r="A56" s="119"/>
      <c r="B56" s="120" t="s">
        <v>389</v>
      </c>
      <c r="C56" s="446">
        <v>194.05</v>
      </c>
      <c r="D56" s="446">
        <v>196.61</v>
      </c>
      <c r="E56" s="446">
        <v>200.37</v>
      </c>
      <c r="F56" s="446">
        <v>192.27</v>
      </c>
      <c r="G56" s="446">
        <v>195.74</v>
      </c>
      <c r="H56" s="446">
        <v>163.19</v>
      </c>
      <c r="I56" s="446">
        <v>156.18</v>
      </c>
      <c r="J56" s="446">
        <v>159.66</v>
      </c>
      <c r="K56" s="446">
        <v>146.33000000000001</v>
      </c>
      <c r="L56" s="446">
        <v>184.81</v>
      </c>
      <c r="M56" s="448">
        <v>186.09</v>
      </c>
      <c r="N56" s="446">
        <v>188.35</v>
      </c>
      <c r="O56" s="119"/>
      <c r="P56" s="119"/>
      <c r="Q56" s="119"/>
      <c r="R56" s="119"/>
      <c r="S56" s="119"/>
      <c r="T56" s="119"/>
      <c r="U56" s="119"/>
      <c r="V56" s="119"/>
      <c r="W56" s="119"/>
      <c r="X56" s="119"/>
      <c r="Y56" s="119"/>
      <c r="Z56" s="119"/>
    </row>
    <row r="57" spans="1:26" ht="14.25" customHeight="1">
      <c r="A57" s="10"/>
      <c r="B57" s="12" t="str">
        <f t="shared" ref="B57" si="28">B17</f>
        <v>Solar irradiation [kWh/m² day]:</v>
      </c>
      <c r="C57" s="443">
        <f>C56/31</f>
        <v>6.2596774193548388</v>
      </c>
      <c r="D57" s="443">
        <f>D56/28</f>
        <v>7.0217857142857145</v>
      </c>
      <c r="E57" s="443">
        <f>E56/31</f>
        <v>6.4635483870967745</v>
      </c>
      <c r="F57" s="443">
        <f>F56/30</f>
        <v>6.4090000000000007</v>
      </c>
      <c r="G57" s="443">
        <f>G56/31</f>
        <v>6.314193548387097</v>
      </c>
      <c r="H57" s="443">
        <f>H56/30</f>
        <v>5.4396666666666667</v>
      </c>
      <c r="I57" s="443">
        <f t="shared" ref="I57" si="29">I56/31</f>
        <v>5.0380645161290323</v>
      </c>
      <c r="J57" s="443">
        <f>J56/31</f>
        <v>5.1503225806451614</v>
      </c>
      <c r="K57" s="443">
        <f>K56/30</f>
        <v>4.8776666666666673</v>
      </c>
      <c r="L57" s="443">
        <f t="shared" ref="L57" si="30">L56/31</f>
        <v>5.9616129032258067</v>
      </c>
      <c r="M57" s="443">
        <f>M56/30</f>
        <v>6.2030000000000003</v>
      </c>
      <c r="N57" s="443">
        <f t="shared" ref="N57" si="31">N56/31</f>
        <v>6.0758064516129027</v>
      </c>
      <c r="O57" s="10"/>
      <c r="P57" s="10"/>
      <c r="Q57" s="10"/>
      <c r="R57" s="10"/>
      <c r="S57" s="10"/>
      <c r="T57" s="10"/>
      <c r="U57" s="10"/>
      <c r="V57" s="10"/>
      <c r="W57" s="10"/>
      <c r="X57" s="10"/>
      <c r="Y57" s="10"/>
      <c r="Z57" s="10"/>
    </row>
    <row r="58" spans="1:26" ht="14.25" customHeight="1">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row>
    <row r="59" spans="1:26" ht="14.25" customHeight="1">
      <c r="A59" s="10"/>
      <c r="B59" s="442" t="s">
        <v>40</v>
      </c>
      <c r="C59" s="12" t="str">
        <f t="shared" ref="C59:N59" si="32">C14</f>
        <v>January</v>
      </c>
      <c r="D59" s="12" t="str">
        <f t="shared" si="32"/>
        <v>February</v>
      </c>
      <c r="E59" s="12" t="str">
        <f t="shared" si="32"/>
        <v>March</v>
      </c>
      <c r="F59" s="12" t="str">
        <f t="shared" si="32"/>
        <v>April</v>
      </c>
      <c r="G59" s="12" t="str">
        <f t="shared" si="32"/>
        <v>May</v>
      </c>
      <c r="H59" s="12" t="str">
        <f t="shared" si="32"/>
        <v>June</v>
      </c>
      <c r="I59" s="12" t="str">
        <f t="shared" si="32"/>
        <v>July</v>
      </c>
      <c r="J59" s="12" t="str">
        <f t="shared" si="32"/>
        <v>August</v>
      </c>
      <c r="K59" s="12" t="str">
        <f t="shared" si="32"/>
        <v>September</v>
      </c>
      <c r="L59" s="12" t="str">
        <f t="shared" si="32"/>
        <v>October</v>
      </c>
      <c r="M59" s="12" t="str">
        <f t="shared" si="32"/>
        <v>November</v>
      </c>
      <c r="N59" s="12" t="str">
        <f t="shared" si="32"/>
        <v>December</v>
      </c>
      <c r="O59" s="10"/>
      <c r="P59" s="10"/>
      <c r="Q59" s="10"/>
      <c r="R59" s="10"/>
      <c r="S59" s="10"/>
      <c r="T59" s="10"/>
      <c r="U59" s="10"/>
      <c r="V59" s="10"/>
      <c r="W59" s="10"/>
      <c r="X59" s="10"/>
      <c r="Y59" s="10"/>
      <c r="Z59" s="10"/>
    </row>
    <row r="60" spans="1:26" ht="14.25" customHeight="1">
      <c r="A60" s="10"/>
      <c r="B60" s="12" t="str">
        <f>B15</f>
        <v>Mean daily temperature [°C]:</v>
      </c>
      <c r="C60" s="443"/>
      <c r="D60" s="443"/>
      <c r="E60" s="443"/>
      <c r="F60" s="443"/>
      <c r="G60" s="443"/>
      <c r="H60" s="443"/>
      <c r="I60" s="443"/>
      <c r="J60" s="443"/>
      <c r="K60" s="443"/>
      <c r="L60" s="443"/>
      <c r="M60" s="443"/>
      <c r="N60" s="443"/>
      <c r="O60" s="10"/>
      <c r="P60" s="10"/>
      <c r="Q60" s="10"/>
      <c r="R60" s="10"/>
      <c r="S60" s="10"/>
      <c r="T60" s="10"/>
      <c r="U60" s="10"/>
      <c r="V60" s="10"/>
      <c r="W60" s="10"/>
      <c r="X60" s="10"/>
      <c r="Y60" s="10"/>
      <c r="Z60" s="10"/>
    </row>
    <row r="61" spans="1:26" ht="14.25" customHeight="1">
      <c r="A61" s="119"/>
      <c r="B61" s="120" t="s">
        <v>389</v>
      </c>
      <c r="C61" s="443"/>
      <c r="D61" s="443"/>
      <c r="E61" s="443"/>
      <c r="F61" s="443"/>
      <c r="G61" s="443"/>
      <c r="H61" s="443"/>
      <c r="I61" s="443"/>
      <c r="J61" s="443"/>
      <c r="K61" s="443"/>
      <c r="L61" s="443"/>
      <c r="M61" s="443"/>
      <c r="N61" s="443"/>
      <c r="O61" s="119"/>
      <c r="P61" s="119"/>
      <c r="Q61" s="119"/>
      <c r="R61" s="119"/>
      <c r="S61" s="119"/>
      <c r="T61" s="119"/>
      <c r="U61" s="119"/>
      <c r="V61" s="119"/>
      <c r="W61" s="119"/>
      <c r="X61" s="119"/>
      <c r="Y61" s="119"/>
      <c r="Z61" s="119"/>
    </row>
    <row r="62" spans="1:26" ht="14.25" customHeight="1">
      <c r="A62" s="10"/>
      <c r="B62" s="12" t="str">
        <f t="shared" ref="B62" si="33">B17</f>
        <v>Solar irradiation [kWh/m² day]:</v>
      </c>
      <c r="C62" s="443"/>
      <c r="D62" s="443"/>
      <c r="E62" s="443"/>
      <c r="F62" s="443"/>
      <c r="G62" s="443"/>
      <c r="H62" s="443"/>
      <c r="I62" s="443"/>
      <c r="J62" s="443"/>
      <c r="K62" s="443"/>
      <c r="L62" s="443"/>
      <c r="M62" s="443"/>
      <c r="N62" s="443"/>
      <c r="O62" s="10"/>
      <c r="P62" s="10"/>
      <c r="Q62" s="10"/>
      <c r="R62" s="10"/>
      <c r="S62" s="10"/>
      <c r="T62" s="10"/>
      <c r="U62" s="10"/>
      <c r="V62" s="10"/>
      <c r="W62" s="10"/>
      <c r="X62" s="10"/>
      <c r="Y62" s="10"/>
      <c r="Z62" s="10"/>
    </row>
    <row r="63" spans="1:26" ht="14.25" customHeight="1">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4.25" customHeight="1">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4.25" customHeight="1">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4.25" customHeight="1">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4.25" customHeight="1">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4.25" customHeight="1">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4.25" customHeight="1">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4.25" customHeight="1">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4.25" customHeight="1">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4.25" customHeight="1">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4.25" customHeight="1">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4.25" customHeight="1">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4.25" customHeight="1">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4.25" customHeight="1">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4.25" customHeight="1">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4.25" customHeight="1">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4.25" customHeight="1">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4.25" customHeight="1">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4.25" customHeight="1">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4.25" customHeight="1">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4.25" customHeight="1">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4.25" customHeight="1">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4.25" customHeight="1">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4.25" customHeight="1">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4.25" customHeight="1">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4.25" customHeight="1">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4.25" customHeight="1">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4.25" customHeight="1">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4.25" customHeight="1">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4.25" customHeight="1">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4.25" customHeight="1">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4.25" customHeight="1">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4.25" customHeight="1">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4.25" customHeight="1">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4.25" customHeight="1">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4.25" customHeight="1">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4.25" customHeight="1">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4.25" customHeight="1">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4.25" customHeight="1">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4.25" customHeight="1">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4.25" customHeight="1">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4.25" customHeight="1">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4.25" customHeight="1">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4.25" customHeight="1">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4.25" customHeight="1">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4.25" customHeight="1">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4.25" customHeight="1">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4.25" customHeight="1">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4.25" customHeight="1"/>
    <row r="112" spans="1:26"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row r="1005" ht="14.25" customHeight="1"/>
    <row r="1006" ht="14.25" customHeight="1"/>
    <row r="1007" ht="14.25" customHeight="1"/>
    <row r="1008" ht="14.25" customHeight="1"/>
    <row r="1009" ht="14.25" customHeight="1"/>
    <row r="1010" ht="14.25" customHeight="1"/>
  </sheetData>
  <sheetProtection algorithmName="SHA-512" hashValue="8EPZsQYa3SfFyd/TCQkKu7/JmHY53pefwySOy5+6tRApXYtedlychBNu3uoQ6gvLjRegv7QysI144YyXlRR9yA==" saltValue="+DlGSqRTf79Ux44RSPy/sg==" spinCount="100000" sheet="1" objects="1" scenarios="1"/>
  <pageMargins left="0.7" right="0.7" top="0.78740157499999996" bottom="0.78740157499999996"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U951"/>
  <sheetViews>
    <sheetView topLeftCell="A4" workbookViewId="0">
      <selection activeCell="B22" sqref="B22"/>
    </sheetView>
  </sheetViews>
  <sheetFormatPr baseColWidth="10" defaultColWidth="14.42578125" defaultRowHeight="15" customHeight="1"/>
  <cols>
    <col min="1" max="1" width="53.140625" customWidth="1"/>
    <col min="2" max="2" width="12.140625" customWidth="1"/>
    <col min="3" max="7" width="10.7109375" customWidth="1"/>
    <col min="8" max="8" width="14" customWidth="1"/>
    <col min="9" max="13" width="10.7109375" customWidth="1"/>
    <col min="14" max="14" width="14.140625" customWidth="1"/>
    <col min="15" max="16" width="10.7109375" customWidth="1"/>
    <col min="17" max="17" width="14.7109375" customWidth="1"/>
    <col min="18" max="18" width="12" customWidth="1"/>
    <col min="19" max="19" width="12.7109375" customWidth="1"/>
    <col min="20" max="20" width="13.140625" customWidth="1"/>
    <col min="21" max="40" width="10.7109375" customWidth="1"/>
  </cols>
  <sheetData>
    <row r="1" spans="1:16" ht="14.25" customHeight="1"/>
    <row r="2" spans="1:16" ht="14.25" customHeight="1">
      <c r="O2" s="24" t="str">
        <f>Translation!B120</f>
        <v>Thermal losses cold month in kWh</v>
      </c>
    </row>
    <row r="3" spans="1:16" ht="14.25" customHeight="1">
      <c r="A3" s="10"/>
      <c r="B3" s="12" t="s">
        <v>41</v>
      </c>
      <c r="C3" s="12" t="s">
        <v>42</v>
      </c>
      <c r="D3" s="12" t="s">
        <v>43</v>
      </c>
      <c r="E3" s="12" t="s">
        <v>44</v>
      </c>
      <c r="F3" s="12" t="s">
        <v>45</v>
      </c>
      <c r="G3" s="12" t="s">
        <v>46</v>
      </c>
      <c r="H3" s="12" t="s">
        <v>47</v>
      </c>
      <c r="I3" s="12" t="s">
        <v>48</v>
      </c>
      <c r="J3" s="12" t="s">
        <v>49</v>
      </c>
      <c r="K3" s="12" t="s">
        <v>50</v>
      </c>
      <c r="L3" s="12" t="s">
        <v>51</v>
      </c>
      <c r="M3" s="12" t="s">
        <v>52</v>
      </c>
      <c r="N3" s="25" t="s">
        <v>53</v>
      </c>
      <c r="O3" s="26">
        <v>0</v>
      </c>
      <c r="P3" s="26">
        <v>0</v>
      </c>
    </row>
    <row r="4" spans="1:16" ht="14.25" customHeight="1">
      <c r="A4" s="12" t="s">
        <v>54</v>
      </c>
      <c r="B4" s="27">
        <f>'1 Geographic Data'!C10</f>
        <v>22.7</v>
      </c>
      <c r="C4" s="27">
        <f>'1 Geographic Data'!D10</f>
        <v>23.5</v>
      </c>
      <c r="D4" s="27">
        <f>'1 Geographic Data'!E10</f>
        <v>21.1</v>
      </c>
      <c r="E4" s="27">
        <f>'1 Geographic Data'!F10</f>
        <v>21.1</v>
      </c>
      <c r="F4" s="27">
        <f>'1 Geographic Data'!G10</f>
        <v>22</v>
      </c>
      <c r="G4" s="27">
        <f>'1 Geographic Data'!H10</f>
        <v>21.3</v>
      </c>
      <c r="H4" s="27">
        <f>'1 Geographic Data'!I10</f>
        <v>21.7</v>
      </c>
      <c r="I4" s="27">
        <f>'1 Geographic Data'!J10</f>
        <v>23</v>
      </c>
      <c r="J4" s="27">
        <f>'1 Geographic Data'!K10</f>
        <v>22</v>
      </c>
      <c r="K4" s="27">
        <f>'1 Geographic Data'!L10</f>
        <v>22.5</v>
      </c>
      <c r="L4" s="27">
        <f>'1 Geographic Data'!M10</f>
        <v>20.9</v>
      </c>
      <c r="M4" s="27">
        <f>'1 Geographic Data'!N10</f>
        <v>20.8</v>
      </c>
      <c r="O4" s="26">
        <v>24</v>
      </c>
      <c r="P4" s="28">
        <f>MIN(B6:M6)</f>
        <v>5.0645088000000005</v>
      </c>
    </row>
    <row r="5" spans="1:16" ht="14.25" customHeight="1">
      <c r="A5" s="12" t="s">
        <v>55</v>
      </c>
      <c r="B5" s="27">
        <f>'1 Geographic Data'!C11</f>
        <v>6.7983870967741939</v>
      </c>
      <c r="C5" s="27">
        <f>'1 Geographic Data'!D11</f>
        <v>7.2350000000000003</v>
      </c>
      <c r="D5" s="27">
        <f>'1 Geographic Data'!E11</f>
        <v>5.9770967741935479</v>
      </c>
      <c r="E5" s="27">
        <f>'1 Geographic Data'!F11</f>
        <v>5.9293333333333331</v>
      </c>
      <c r="F5" s="27">
        <f>'1 Geographic Data'!G11</f>
        <v>6.3945161290322581</v>
      </c>
      <c r="G5" s="27">
        <f>'1 Geographic Data'!H11</f>
        <v>5.5709999999999997</v>
      </c>
      <c r="H5" s="27">
        <f>'1 Geographic Data'!I11</f>
        <v>6.1029032258064513</v>
      </c>
      <c r="I5" s="27">
        <f>'1 Geographic Data'!J11</f>
        <v>6.2412903225806451</v>
      </c>
      <c r="J5" s="27">
        <f>'1 Geographic Data'!K11</f>
        <v>6.3456666666666672</v>
      </c>
      <c r="K5" s="27">
        <f>'1 Geographic Data'!L11</f>
        <v>6.2751612903225809</v>
      </c>
      <c r="L5" s="27">
        <f>'1 Geographic Data'!M11</f>
        <v>5.6116666666666664</v>
      </c>
      <c r="M5" s="27">
        <f>'1 Geographic Data'!N11</f>
        <v>6.3029032258064515</v>
      </c>
      <c r="O5" s="26" t="str">
        <f>Translation!B121</f>
        <v>Thermal losses hot month in kWh</v>
      </c>
      <c r="P5" s="26"/>
    </row>
    <row r="6" spans="1:16" ht="14.25" customHeight="1">
      <c r="A6" s="29" t="s">
        <v>56</v>
      </c>
      <c r="B6" s="30">
        <f>(1+0.1*$G$61)*($E$53*$E$56*(B4-$E$40)*24/1000)+0.12*$E$57</f>
        <v>5.5006271999999994</v>
      </c>
      <c r="C6" s="30">
        <f t="shared" ref="C6:M6" si="0">(1+0.1*$G$61)*($E$53*$E$56*(C4-$E$40)*24/1000)+0.12*$E$57</f>
        <v>5.6842559999999995</v>
      </c>
      <c r="D6" s="30">
        <f t="shared" si="0"/>
        <v>5.1333696</v>
      </c>
      <c r="E6" s="30">
        <f t="shared" si="0"/>
        <v>5.1333696</v>
      </c>
      <c r="F6" s="30">
        <f t="shared" si="0"/>
        <v>5.3399520000000003</v>
      </c>
      <c r="G6" s="30">
        <f t="shared" si="0"/>
        <v>5.1792768000000002</v>
      </c>
      <c r="H6" s="30">
        <f t="shared" si="0"/>
        <v>5.2710911999999999</v>
      </c>
      <c r="I6" s="30">
        <f t="shared" si="0"/>
        <v>5.5694879999999998</v>
      </c>
      <c r="J6" s="30">
        <f t="shared" si="0"/>
        <v>5.3399520000000003</v>
      </c>
      <c r="K6" s="30">
        <f t="shared" si="0"/>
        <v>5.45472</v>
      </c>
      <c r="L6" s="30">
        <f t="shared" si="0"/>
        <v>5.0874623999999997</v>
      </c>
      <c r="M6" s="30">
        <f t="shared" si="0"/>
        <v>5.0645088000000005</v>
      </c>
      <c r="N6" s="31">
        <f>MAX(B6:M6)</f>
        <v>5.6842559999999995</v>
      </c>
      <c r="O6" s="26">
        <v>0</v>
      </c>
      <c r="P6" s="28">
        <v>0</v>
      </c>
    </row>
    <row r="7" spans="1:16" ht="14.25" customHeight="1">
      <c r="A7" s="29" t="s">
        <v>57</v>
      </c>
      <c r="B7" s="30">
        <f t="shared" ref="B7:M7" si="1">$E$28*$E$32*($E$39-MAX($E$40,0))/3600</f>
        <v>6.166666666666667</v>
      </c>
      <c r="C7" s="30">
        <f t="shared" si="1"/>
        <v>6.166666666666667</v>
      </c>
      <c r="D7" s="30">
        <f t="shared" si="1"/>
        <v>6.166666666666667</v>
      </c>
      <c r="E7" s="30">
        <f t="shared" si="1"/>
        <v>6.166666666666667</v>
      </c>
      <c r="F7" s="30">
        <f t="shared" si="1"/>
        <v>6.166666666666667</v>
      </c>
      <c r="G7" s="30">
        <f t="shared" si="1"/>
        <v>6.166666666666667</v>
      </c>
      <c r="H7" s="30">
        <f t="shared" si="1"/>
        <v>6.166666666666667</v>
      </c>
      <c r="I7" s="30">
        <f t="shared" si="1"/>
        <v>6.166666666666667</v>
      </c>
      <c r="J7" s="30">
        <f t="shared" si="1"/>
        <v>6.166666666666667</v>
      </c>
      <c r="K7" s="30">
        <f t="shared" si="1"/>
        <v>6.166666666666667</v>
      </c>
      <c r="L7" s="30">
        <f t="shared" si="1"/>
        <v>6.166666666666667</v>
      </c>
      <c r="M7" s="30">
        <f t="shared" si="1"/>
        <v>6.166666666666667</v>
      </c>
      <c r="O7" s="32">
        <v>24</v>
      </c>
      <c r="P7" s="31">
        <f>MAX(B6:M6)</f>
        <v>5.6842559999999995</v>
      </c>
    </row>
    <row r="8" spans="1:16" ht="14.25" customHeight="1">
      <c r="A8" s="29" t="s">
        <v>58</v>
      </c>
      <c r="B8" s="30">
        <f t="shared" ref="B8:M8" si="2">$E$28*$E$32*80/3600</f>
        <v>32.888888888888886</v>
      </c>
      <c r="C8" s="30">
        <f t="shared" si="2"/>
        <v>32.888888888888886</v>
      </c>
      <c r="D8" s="30">
        <f t="shared" si="2"/>
        <v>32.888888888888886</v>
      </c>
      <c r="E8" s="30">
        <f t="shared" si="2"/>
        <v>32.888888888888886</v>
      </c>
      <c r="F8" s="30">
        <f t="shared" si="2"/>
        <v>32.888888888888886</v>
      </c>
      <c r="G8" s="30">
        <f t="shared" si="2"/>
        <v>32.888888888888886</v>
      </c>
      <c r="H8" s="30">
        <f t="shared" si="2"/>
        <v>32.888888888888886</v>
      </c>
      <c r="I8" s="30">
        <f t="shared" si="2"/>
        <v>32.888888888888886</v>
      </c>
      <c r="J8" s="30">
        <f t="shared" si="2"/>
        <v>32.888888888888886</v>
      </c>
      <c r="K8" s="30">
        <f t="shared" si="2"/>
        <v>32.888888888888886</v>
      </c>
      <c r="L8" s="30">
        <f t="shared" si="2"/>
        <v>32.888888888888886</v>
      </c>
      <c r="M8" s="30">
        <f t="shared" si="2"/>
        <v>32.888888888888886</v>
      </c>
    </row>
    <row r="9" spans="1:16" ht="14.25" customHeight="1">
      <c r="A9" s="29" t="s">
        <v>59</v>
      </c>
      <c r="B9" s="30">
        <f t="shared" ref="B9:M9" si="3">0.5*$E$28*$E$32*(0-MIN($E$40,0))/3600</f>
        <v>0</v>
      </c>
      <c r="C9" s="30">
        <f t="shared" si="3"/>
        <v>0</v>
      </c>
      <c r="D9" s="30">
        <f t="shared" si="3"/>
        <v>0</v>
      </c>
      <c r="E9" s="30">
        <f t="shared" si="3"/>
        <v>0</v>
      </c>
      <c r="F9" s="30">
        <f t="shared" si="3"/>
        <v>0</v>
      </c>
      <c r="G9" s="30">
        <f t="shared" si="3"/>
        <v>0</v>
      </c>
      <c r="H9" s="30">
        <f t="shared" si="3"/>
        <v>0</v>
      </c>
      <c r="I9" s="30">
        <f t="shared" si="3"/>
        <v>0</v>
      </c>
      <c r="J9" s="30">
        <f t="shared" si="3"/>
        <v>0</v>
      </c>
      <c r="K9" s="30">
        <f t="shared" si="3"/>
        <v>0</v>
      </c>
      <c r="L9" s="30">
        <f t="shared" si="3"/>
        <v>0</v>
      </c>
      <c r="M9" s="30">
        <f t="shared" si="3"/>
        <v>0</v>
      </c>
    </row>
    <row r="10" spans="1:16" ht="14.25" customHeight="1">
      <c r="A10" s="29" t="s">
        <v>60</v>
      </c>
      <c r="B10" s="30">
        <f t="shared" ref="B10:M10" si="4">B12/$E$33</f>
        <v>0.26074492248482445</v>
      </c>
      <c r="C10" s="30">
        <f t="shared" si="4"/>
        <v>0.26098432267634447</v>
      </c>
      <c r="D10" s="30">
        <f t="shared" si="4"/>
        <v>0.26026612210178446</v>
      </c>
      <c r="E10" s="30">
        <f t="shared" si="4"/>
        <v>0.26026612210178446</v>
      </c>
      <c r="F10" s="30">
        <f t="shared" si="4"/>
        <v>0.26053544731724448</v>
      </c>
      <c r="G10" s="30">
        <f t="shared" si="4"/>
        <v>0.26032597214966446</v>
      </c>
      <c r="H10" s="30">
        <f t="shared" si="4"/>
        <v>0.26044567224542442</v>
      </c>
      <c r="I10" s="30">
        <f t="shared" si="4"/>
        <v>0.26083469755664446</v>
      </c>
      <c r="J10" s="30">
        <f t="shared" si="4"/>
        <v>0.26053544731724448</v>
      </c>
      <c r="K10" s="30">
        <f t="shared" si="4"/>
        <v>0.26068507243694444</v>
      </c>
      <c r="L10" s="30">
        <f t="shared" si="4"/>
        <v>0.26020627205390445</v>
      </c>
      <c r="M10" s="30">
        <f t="shared" si="4"/>
        <v>0.26017634702996445</v>
      </c>
    </row>
    <row r="11" spans="1:16" ht="29.25" customHeight="1">
      <c r="A11" s="33" t="s">
        <v>61</v>
      </c>
      <c r="B11" s="30">
        <f t="shared" ref="B11:M11" si="5">$E$57*1.2*(B4-$E$40)*0.000277778</f>
        <v>9.1211472969120008E-2</v>
      </c>
      <c r="C11" s="30">
        <f t="shared" si="5"/>
        <v>9.6957077565600014E-2</v>
      </c>
      <c r="D11" s="30">
        <f t="shared" si="5"/>
        <v>7.9720263776160011E-2</v>
      </c>
      <c r="E11" s="30">
        <f t="shared" si="5"/>
        <v>7.9720263776160011E-2</v>
      </c>
      <c r="F11" s="30">
        <f t="shared" si="5"/>
        <v>8.6184068947200002E-2</v>
      </c>
      <c r="G11" s="30">
        <f t="shared" si="5"/>
        <v>8.1156664925280009E-2</v>
      </c>
      <c r="H11" s="30">
        <f t="shared" si="5"/>
        <v>8.4029467223519991E-2</v>
      </c>
      <c r="I11" s="30">
        <f t="shared" si="5"/>
        <v>9.3366074692799991E-2</v>
      </c>
      <c r="J11" s="30">
        <f t="shared" si="5"/>
        <v>8.6184068947200002E-2</v>
      </c>
      <c r="K11" s="30">
        <f t="shared" si="5"/>
        <v>8.9775071819999996E-2</v>
      </c>
      <c r="L11" s="30">
        <f t="shared" si="5"/>
        <v>7.8283862627039985E-2</v>
      </c>
      <c r="M11" s="30">
        <f t="shared" si="5"/>
        <v>7.7565662052480014E-2</v>
      </c>
    </row>
    <row r="12" spans="1:16" ht="14.25" customHeight="1">
      <c r="A12" s="29" t="s">
        <v>62</v>
      </c>
      <c r="B12" s="30">
        <f t="shared" ref="B12:M12" si="6">IF($E$40&gt;0,B7,B7+B8+B9)*$E$34/30+B11</f>
        <v>6.2578781396357872</v>
      </c>
      <c r="C12" s="30">
        <f t="shared" si="6"/>
        <v>6.2636237442322669</v>
      </c>
      <c r="D12" s="30">
        <f t="shared" si="6"/>
        <v>6.246386930442827</v>
      </c>
      <c r="E12" s="30">
        <f t="shared" si="6"/>
        <v>6.246386930442827</v>
      </c>
      <c r="F12" s="30">
        <f t="shared" si="6"/>
        <v>6.2528507356138672</v>
      </c>
      <c r="G12" s="30">
        <f t="shared" si="6"/>
        <v>6.2478233315919471</v>
      </c>
      <c r="H12" s="30">
        <f t="shared" si="6"/>
        <v>6.2506961338901865</v>
      </c>
      <c r="I12" s="30">
        <f t="shared" si="6"/>
        <v>6.260032741359467</v>
      </c>
      <c r="J12" s="30">
        <f t="shared" si="6"/>
        <v>6.2528507356138672</v>
      </c>
      <c r="K12" s="30">
        <f t="shared" si="6"/>
        <v>6.2564417384866671</v>
      </c>
      <c r="L12" s="30">
        <f t="shared" si="6"/>
        <v>6.2449505292937069</v>
      </c>
      <c r="M12" s="30">
        <f t="shared" si="6"/>
        <v>6.2442323287191472</v>
      </c>
      <c r="N12" s="31">
        <f t="shared" ref="N12:N13" si="7">MAX(B12:M12)</f>
        <v>6.2636237442322669</v>
      </c>
    </row>
    <row r="13" spans="1:16" ht="14.25" customHeight="1">
      <c r="A13" s="29" t="s">
        <v>63</v>
      </c>
      <c r="B13" s="30">
        <f t="shared" ref="B13:M13" si="8">B6+B12</f>
        <v>11.758505339635786</v>
      </c>
      <c r="C13" s="30">
        <f t="shared" si="8"/>
        <v>11.947879744232267</v>
      </c>
      <c r="D13" s="30">
        <f t="shared" si="8"/>
        <v>11.379756530442826</v>
      </c>
      <c r="E13" s="30">
        <f t="shared" si="8"/>
        <v>11.379756530442826</v>
      </c>
      <c r="F13" s="30">
        <f t="shared" si="8"/>
        <v>11.592802735613867</v>
      </c>
      <c r="G13" s="30">
        <f t="shared" si="8"/>
        <v>11.427100131591947</v>
      </c>
      <c r="H13" s="30">
        <f t="shared" si="8"/>
        <v>11.521787333890186</v>
      </c>
      <c r="I13" s="30">
        <f t="shared" si="8"/>
        <v>11.829520741359467</v>
      </c>
      <c r="J13" s="30">
        <f t="shared" si="8"/>
        <v>11.592802735613867</v>
      </c>
      <c r="K13" s="30">
        <f t="shared" si="8"/>
        <v>11.711161738486666</v>
      </c>
      <c r="L13" s="30">
        <f t="shared" si="8"/>
        <v>11.332412929293707</v>
      </c>
      <c r="M13" s="30">
        <f t="shared" si="8"/>
        <v>11.308741128719149</v>
      </c>
      <c r="N13" s="31">
        <f t="shared" si="7"/>
        <v>11.947879744232267</v>
      </c>
      <c r="O13" s="393"/>
      <c r="P13" s="392"/>
    </row>
    <row r="14" spans="1:16" ht="14.25" hidden="1" customHeight="1">
      <c r="A14" s="29" t="s">
        <v>64</v>
      </c>
      <c r="B14" s="32">
        <f t="shared" ref="B14:M14" si="9">$E$44*(1/((B4+7+273.15)/((MIN(-5,$E$43))+273.15)-1))</f>
        <v>1.7773631123919298</v>
      </c>
      <c r="C14" s="32">
        <f t="shared" si="9"/>
        <v>1.7373098591549292</v>
      </c>
      <c r="D14" s="32">
        <f t="shared" si="9"/>
        <v>1.8632779456193331</v>
      </c>
      <c r="E14" s="32">
        <f t="shared" si="9"/>
        <v>1.8632779456193331</v>
      </c>
      <c r="F14" s="32">
        <f t="shared" si="9"/>
        <v>1.81395588235294</v>
      </c>
      <c r="G14" s="32">
        <f t="shared" si="9"/>
        <v>1.8520870870870858</v>
      </c>
      <c r="H14" s="32">
        <f t="shared" si="9"/>
        <v>1.8301038575667663</v>
      </c>
      <c r="I14" s="32">
        <f t="shared" si="9"/>
        <v>1.7621285714285719</v>
      </c>
      <c r="J14" s="32">
        <f t="shared" si="9"/>
        <v>1.81395588235294</v>
      </c>
      <c r="K14" s="32">
        <f t="shared" si="9"/>
        <v>1.7876666666666678</v>
      </c>
      <c r="L14" s="32">
        <f t="shared" si="9"/>
        <v>1.8746048632218846</v>
      </c>
      <c r="M14" s="32">
        <f t="shared" si="9"/>
        <v>1.8803201219512193</v>
      </c>
      <c r="N14" s="31">
        <f t="shared" ref="N14:N15" si="10">MIN(B14:M14)</f>
        <v>1.7373098591549292</v>
      </c>
    </row>
    <row r="15" spans="1:16" ht="14.25" customHeight="1">
      <c r="A15" s="29" t="s">
        <v>65</v>
      </c>
      <c r="B15" s="32">
        <f t="shared" ref="B15:M15" si="11">$E$44*1/(((B4+273.15+5)/(0+273.15-5))-1)</f>
        <v>1.8860703363914364</v>
      </c>
      <c r="C15" s="32">
        <f t="shared" si="11"/>
        <v>1.8410298507462683</v>
      </c>
      <c r="D15" s="32">
        <f t="shared" si="11"/>
        <v>1.9831028938906732</v>
      </c>
      <c r="E15" s="32">
        <f t="shared" si="11"/>
        <v>1.9831028938906732</v>
      </c>
      <c r="F15" s="32">
        <f t="shared" si="11"/>
        <v>1.9273281249999992</v>
      </c>
      <c r="G15" s="32">
        <f t="shared" si="11"/>
        <v>1.9704313099041524</v>
      </c>
      <c r="H15" s="32">
        <f t="shared" si="11"/>
        <v>1.9455678233438496</v>
      </c>
      <c r="I15" s="32">
        <f t="shared" si="11"/>
        <v>1.8689242424242432</v>
      </c>
      <c r="J15" s="32">
        <f t="shared" si="11"/>
        <v>1.9273281249999992</v>
      </c>
      <c r="K15" s="32">
        <f t="shared" si="11"/>
        <v>1.8976769230769248</v>
      </c>
      <c r="L15" s="32">
        <f t="shared" si="11"/>
        <v>1.9959385113268613</v>
      </c>
      <c r="M15" s="32">
        <f t="shared" si="11"/>
        <v>2.0024188311688311</v>
      </c>
      <c r="N15" s="31">
        <f t="shared" si="10"/>
        <v>1.8410298507462683</v>
      </c>
    </row>
    <row r="16" spans="1:16" ht="14.25" customHeight="1">
      <c r="A16" s="29" t="s">
        <v>66</v>
      </c>
      <c r="B16" s="32">
        <f>(27+15)*1.1*18/1000</f>
        <v>0.83160000000000001</v>
      </c>
      <c r="C16" s="32">
        <f t="shared" ref="C16:M16" si="12">(27+15)*1.1*18/1000</f>
        <v>0.83160000000000001</v>
      </c>
      <c r="D16" s="32">
        <f t="shared" si="12"/>
        <v>0.83160000000000001</v>
      </c>
      <c r="E16" s="32">
        <f t="shared" si="12"/>
        <v>0.83160000000000001</v>
      </c>
      <c r="F16" s="32">
        <f t="shared" si="12"/>
        <v>0.83160000000000001</v>
      </c>
      <c r="G16" s="32">
        <f t="shared" si="12"/>
        <v>0.83160000000000001</v>
      </c>
      <c r="H16" s="32">
        <f t="shared" si="12"/>
        <v>0.83160000000000001</v>
      </c>
      <c r="I16" s="32">
        <f t="shared" si="12"/>
        <v>0.83160000000000001</v>
      </c>
      <c r="J16" s="32">
        <f t="shared" si="12"/>
        <v>0.83160000000000001</v>
      </c>
      <c r="K16" s="32">
        <f t="shared" si="12"/>
        <v>0.83160000000000001</v>
      </c>
      <c r="L16" s="32">
        <f t="shared" si="12"/>
        <v>0.83160000000000001</v>
      </c>
      <c r="M16" s="32">
        <f t="shared" si="12"/>
        <v>0.83160000000000001</v>
      </c>
      <c r="N16" s="31">
        <f t="shared" ref="N16:N17" si="13">MAX(B16:M16)</f>
        <v>0.83160000000000001</v>
      </c>
      <c r="O16" s="393" t="s">
        <v>67</v>
      </c>
      <c r="P16" s="392"/>
    </row>
    <row r="17" spans="1:16" ht="14.25" customHeight="1">
      <c r="A17" s="29" t="s">
        <v>68</v>
      </c>
      <c r="B17" s="30">
        <f>B13/B15</f>
        <v>6.2343938679047319</v>
      </c>
      <c r="C17" s="30">
        <f t="shared" ref="C17:M17" si="14">C13/C15</f>
        <v>6.4897805646058098</v>
      </c>
      <c r="D17" s="30">
        <f t="shared" si="14"/>
        <v>5.7383590964948601</v>
      </c>
      <c r="E17" s="30">
        <f t="shared" si="14"/>
        <v>5.7383590964948601</v>
      </c>
      <c r="F17" s="30">
        <f t="shared" si="14"/>
        <v>6.0149606002423033</v>
      </c>
      <c r="G17" s="30">
        <f t="shared" si="14"/>
        <v>5.7992887517341547</v>
      </c>
      <c r="H17" s="30">
        <f t="shared" si="14"/>
        <v>5.9220692260872596</v>
      </c>
      <c r="I17" s="30">
        <f t="shared" si="14"/>
        <v>6.3295881517460577</v>
      </c>
      <c r="J17" s="30">
        <f t="shared" si="14"/>
        <v>6.0149606002423033</v>
      </c>
      <c r="K17" s="30">
        <f t="shared" si="14"/>
        <v>6.1713148302915517</v>
      </c>
      <c r="L17" s="30">
        <f t="shared" si="14"/>
        <v>5.6777364958803958</v>
      </c>
      <c r="M17" s="30">
        <f t="shared" si="14"/>
        <v>5.6475403410574838</v>
      </c>
      <c r="N17" s="31">
        <f t="shared" si="13"/>
        <v>6.4897805646058098</v>
      </c>
      <c r="O17" s="34"/>
      <c r="P17" s="34" t="s">
        <v>69</v>
      </c>
    </row>
    <row r="18" spans="1:16" ht="14.25" customHeight="1">
      <c r="A18" s="12" t="s">
        <v>70</v>
      </c>
      <c r="B18" s="35">
        <f>1000*B16/($E$67*8)</f>
        <v>1.3860000000000001</v>
      </c>
      <c r="C18" s="35">
        <f t="shared" ref="C18:M18" si="15">1000*C16/($E$67*8)</f>
        <v>1.3860000000000001</v>
      </c>
      <c r="D18" s="35">
        <f t="shared" si="15"/>
        <v>1.3860000000000001</v>
      </c>
      <c r="E18" s="35">
        <f t="shared" si="15"/>
        <v>1.3860000000000001</v>
      </c>
      <c r="F18" s="35">
        <f t="shared" si="15"/>
        <v>1.3860000000000001</v>
      </c>
      <c r="G18" s="35">
        <f t="shared" si="15"/>
        <v>1.3860000000000001</v>
      </c>
      <c r="H18" s="35">
        <f t="shared" si="15"/>
        <v>1.3860000000000001</v>
      </c>
      <c r="I18" s="35">
        <f t="shared" si="15"/>
        <v>1.3860000000000001</v>
      </c>
      <c r="J18" s="35">
        <f t="shared" si="15"/>
        <v>1.3860000000000001</v>
      </c>
      <c r="K18" s="35">
        <f t="shared" si="15"/>
        <v>1.3860000000000001</v>
      </c>
      <c r="L18" s="35">
        <f t="shared" si="15"/>
        <v>1.3860000000000001</v>
      </c>
      <c r="M18" s="35">
        <f t="shared" si="15"/>
        <v>1.3860000000000001</v>
      </c>
      <c r="O18" s="36">
        <f t="shared" ref="O18" si="16">MAX(B18:M18)</f>
        <v>1.3860000000000001</v>
      </c>
      <c r="P18" s="36">
        <f>MAX(1,IF( O18-ROUNDDOWN(O18,0)&lt;0.2,  ROUNDDOWN(O18,0),      ROUNDUP(O18,0)        ))</f>
        <v>2</v>
      </c>
    </row>
    <row r="19" spans="1:16" ht="14.25" customHeight="1">
      <c r="A19" s="12" t="s">
        <v>71</v>
      </c>
      <c r="B19" s="35">
        <f>(1+$E$64/100+0.5)*1.2*1000*B16/B5</f>
        <v>256.87857651245548</v>
      </c>
      <c r="C19" s="35">
        <f t="shared" ref="C19:M19" si="17">(1+$E$64/100+0.5)*1.2*1000*C16/C5</f>
        <v>241.37664132688317</v>
      </c>
      <c r="D19" s="35">
        <f t="shared" si="17"/>
        <v>292.17529278428412</v>
      </c>
      <c r="E19" s="35">
        <f t="shared" si="17"/>
        <v>294.52889588486619</v>
      </c>
      <c r="F19" s="35">
        <f t="shared" si="17"/>
        <v>273.10275942087475</v>
      </c>
      <c r="G19" s="35">
        <f t="shared" si="17"/>
        <v>313.47334410339255</v>
      </c>
      <c r="H19" s="35">
        <f t="shared" si="17"/>
        <v>286.15233363285586</v>
      </c>
      <c r="I19" s="35">
        <f t="shared" si="17"/>
        <v>279.80752532561502</v>
      </c>
      <c r="J19" s="35">
        <f t="shared" si="17"/>
        <v>275.20512685822342</v>
      </c>
      <c r="K19" s="35">
        <f t="shared" si="17"/>
        <v>278.29722921914356</v>
      </c>
      <c r="L19" s="35">
        <f t="shared" si="17"/>
        <v>311.20166320166322</v>
      </c>
      <c r="M19" s="35">
        <f t="shared" si="17"/>
        <v>277.07231690465221</v>
      </c>
      <c r="O19" s="36">
        <f>MAX(B19:M19)</f>
        <v>313.47334410339255</v>
      </c>
      <c r="P19" s="37">
        <f>ROUND(O19,0)</f>
        <v>313</v>
      </c>
    </row>
    <row r="20" spans="1:16" ht="14.25" customHeight="1">
      <c r="A20" s="94" t="s">
        <v>72</v>
      </c>
      <c r="B20" s="32">
        <f>1000*B17/($E$67*18)+1</f>
        <v>5.6180695317812832</v>
      </c>
      <c r="C20" s="32">
        <f t="shared" ref="C20:M20" si="18">1000*C17/($E$67*18)+1</f>
        <v>5.8072448626709701</v>
      </c>
      <c r="D20" s="32">
        <f t="shared" si="18"/>
        <v>5.2506363677739705</v>
      </c>
      <c r="E20" s="32">
        <f t="shared" si="18"/>
        <v>5.2506363677739705</v>
      </c>
      <c r="F20" s="32">
        <f t="shared" si="18"/>
        <v>5.4555263705498547</v>
      </c>
      <c r="G20" s="32">
        <f t="shared" si="18"/>
        <v>5.2957694457290039</v>
      </c>
      <c r="H20" s="32">
        <f t="shared" si="18"/>
        <v>5.3867179452498215</v>
      </c>
      <c r="I20" s="32">
        <f t="shared" si="18"/>
        <v>5.6885838161081912</v>
      </c>
      <c r="J20" s="32">
        <f t="shared" si="18"/>
        <v>5.4555263705498547</v>
      </c>
      <c r="K20" s="32">
        <f t="shared" si="18"/>
        <v>5.5713443187344822</v>
      </c>
      <c r="L20" s="32">
        <f t="shared" si="18"/>
        <v>5.2057307376891817</v>
      </c>
      <c r="M20" s="32">
        <f t="shared" si="18"/>
        <v>5.1833632155981357</v>
      </c>
      <c r="O20" s="36">
        <f>MAX(B20:M20)</f>
        <v>5.8072448626709701</v>
      </c>
      <c r="P20" s="36">
        <f>MAX(1,IF( O20-ROUNDDOWN(O20,0)&lt;0.2,  ROUNDDOWN(O20,0),      ROUNDUP(O20,0)        ))</f>
        <v>6</v>
      </c>
    </row>
    <row r="21" spans="1:16" ht="14.25" customHeight="1">
      <c r="A21" s="12" t="s">
        <v>73</v>
      </c>
      <c r="B21" s="35">
        <f>(1+$E$64/100+0.5)*1000*B17/B5</f>
        <v>1604.8202483218586</v>
      </c>
      <c r="C21" s="35">
        <f t="shared" ref="C21:M21" si="19">(1+$E$64/100+0.5)*1000*C17/C5</f>
        <v>1569.7465083704444</v>
      </c>
      <c r="D21" s="35">
        <f t="shared" si="19"/>
        <v>1680.1013599484386</v>
      </c>
      <c r="E21" s="35">
        <f t="shared" si="19"/>
        <v>1693.6353303686765</v>
      </c>
      <c r="F21" s="35">
        <f t="shared" si="19"/>
        <v>1646.1262803972404</v>
      </c>
      <c r="G21" s="35">
        <f t="shared" si="19"/>
        <v>1821.7115985522835</v>
      </c>
      <c r="H21" s="35">
        <f t="shared" si="19"/>
        <v>1698.1460728116381</v>
      </c>
      <c r="I21" s="35">
        <f t="shared" si="19"/>
        <v>1774.7578934888547</v>
      </c>
      <c r="J21" s="35">
        <f t="shared" si="19"/>
        <v>1658.7982954915212</v>
      </c>
      <c r="K21" s="35">
        <f t="shared" si="19"/>
        <v>1721.039580236039</v>
      </c>
      <c r="L21" s="35">
        <f t="shared" si="19"/>
        <v>1770.6038968441983</v>
      </c>
      <c r="M21" s="35">
        <f t="shared" si="19"/>
        <v>1568.0386074127055</v>
      </c>
      <c r="O21" s="36">
        <f>MAX(B21:M21)*1.921475693</f>
        <v>3500.374556274387</v>
      </c>
      <c r="P21" s="37">
        <f>ROUNDUP(O21,0)</f>
        <v>3501</v>
      </c>
    </row>
    <row r="22" spans="1:16" ht="14.25" customHeight="1">
      <c r="A22" s="12" t="s">
        <v>828</v>
      </c>
      <c r="B22" s="35">
        <f>MAX($E$63,1)*(1+$E$64/100+0.1)*1000*B17/24/('3 LCA Input'!$R$14/100)</f>
        <v>350.68465506964117</v>
      </c>
      <c r="C22" s="35">
        <f>MAX($E$63,1)*(1+$E$64/100+0.1)*1000*C17/24/('3 LCA Input'!$R$14/100)</f>
        <v>365.0501567590768</v>
      </c>
      <c r="D22" s="35">
        <f>MAX($E$63,1)*(1+$E$64/100+0.1)*1000*D17/24/('3 LCA Input'!$R$14/100)</f>
        <v>322.78269917783587</v>
      </c>
      <c r="E22" s="35">
        <f>MAX($E$63,1)*(1+$E$64/100+0.1)*1000*E17/24/('3 LCA Input'!$R$14/100)</f>
        <v>322.78269917783587</v>
      </c>
      <c r="F22" s="35">
        <f>MAX($E$63,1)*(1+$E$64/100+0.1)*1000*F17/24/('3 LCA Input'!$R$14/100)</f>
        <v>338.34153376362957</v>
      </c>
      <c r="G22" s="35">
        <f>MAX($E$63,1)*(1+$E$64/100+0.1)*1000*G17/24/('3 LCA Input'!$R$14/100)</f>
        <v>326.20999228504621</v>
      </c>
      <c r="H22" s="35">
        <f>MAX($E$63,1)*(1+$E$64/100+0.1)*1000*H17/24/('3 LCA Input'!$R$14/100)</f>
        <v>333.11639396740833</v>
      </c>
      <c r="I22" s="35">
        <f>MAX($E$63,1)*(1+$E$64/100+0.1)*1000*I17/24/('3 LCA Input'!$R$14/100)</f>
        <v>356.03933353571574</v>
      </c>
      <c r="J22" s="35">
        <f>MAX($E$63,1)*(1+$E$64/100+0.1)*1000*J17/24/('3 LCA Input'!$R$14/100)</f>
        <v>338.34153376362957</v>
      </c>
      <c r="K22" s="35">
        <f>MAX($E$63,1)*(1+$E$64/100+0.1)*1000*K17/24/('3 LCA Input'!$R$14/100)</f>
        <v>347.13645920389973</v>
      </c>
      <c r="L22" s="35">
        <f>MAX($E$63,1)*(1+$E$64/100+0.1)*1000*L17/24/('3 LCA Input'!$R$14/100)</f>
        <v>319.37267789327228</v>
      </c>
      <c r="M22" s="35">
        <f>MAX($E$63,1)*(1+$E$64/100+0.1)*1000*M17/24/('3 LCA Input'!$R$14/100)</f>
        <v>317.67414418448345</v>
      </c>
      <c r="O22" s="36">
        <f>MAX(B22:M22)</f>
        <v>365.0501567590768</v>
      </c>
      <c r="P22" s="37">
        <f>ROUND(O22,0)</f>
        <v>365</v>
      </c>
    </row>
    <row r="23" spans="1:16" ht="14.25" customHeight="1">
      <c r="A23" s="12" t="s">
        <v>829</v>
      </c>
      <c r="B23" s="35">
        <f>MAX($E$63,1)*(1+$E$64/100+0.1)*1000*B18/24/('3 LCA Input'!$R$14/100)</f>
        <v>77.962500000000006</v>
      </c>
      <c r="C23" s="35">
        <f>MAX($E$63,1)*(1+$E$64/100+0.1)*1000*C18/24/('3 LCA Input'!$R$14/100)</f>
        <v>77.962500000000006</v>
      </c>
      <c r="D23" s="35">
        <f>MAX($E$63,1)*(1+$E$64/100+0.1)*1000*D18/24/('3 LCA Input'!$R$14/100)</f>
        <v>77.962500000000006</v>
      </c>
      <c r="E23" s="35">
        <f>MAX($E$63,1)*(1+$E$64/100+0.1)*1000*E18/24/('3 LCA Input'!$R$14/100)</f>
        <v>77.962500000000006</v>
      </c>
      <c r="F23" s="35">
        <f>MAX($E$63,1)*(1+$E$64/100+0.1)*1000*F18/24/('3 LCA Input'!$R$14/100)</f>
        <v>77.962500000000006</v>
      </c>
      <c r="G23" s="35">
        <f>MAX($E$63,1)*(1+$E$64/100+0.1)*1000*G18/24/('3 LCA Input'!$R$14/100)</f>
        <v>77.962500000000006</v>
      </c>
      <c r="H23" s="35">
        <f>MAX($E$63,1)*(1+$E$64/100+0.1)*1000*H18/24/('3 LCA Input'!$R$14/100)</f>
        <v>77.962500000000006</v>
      </c>
      <c r="I23" s="35">
        <f>MAX($E$63,1)*(1+$E$64/100+0.1)*1000*I18/24/('3 LCA Input'!$R$14/100)</f>
        <v>77.962500000000006</v>
      </c>
      <c r="J23" s="35">
        <f>MAX($E$63,1)*(1+$E$64/100+0.1)*1000*J18/24/('3 LCA Input'!$R$14/100)</f>
        <v>77.962500000000006</v>
      </c>
      <c r="K23" s="35">
        <f>MAX($E$63,1)*(1+$E$64/100+0.1)*1000*K18/24/('3 LCA Input'!$R$14/100)</f>
        <v>77.962500000000006</v>
      </c>
      <c r="L23" s="35">
        <f>MAX($E$63,1)*(1+$E$64/100+0.1)*1000*L18/24/('3 LCA Input'!$R$14/100)</f>
        <v>77.962500000000006</v>
      </c>
      <c r="M23" s="35">
        <f>MAX($E$63,1)*(1+$E$64/100+0.1)*1000*M18/24/('3 LCA Input'!$R$14/100)</f>
        <v>77.962500000000006</v>
      </c>
      <c r="O23" s="36">
        <f>MAX(B23:M23)</f>
        <v>77.962500000000006</v>
      </c>
      <c r="P23" s="37">
        <f>ROUND(O23,0)</f>
        <v>78</v>
      </c>
    </row>
    <row r="24" spans="1:16" ht="14.25" customHeight="1">
      <c r="B24" s="31"/>
      <c r="C24" s="31"/>
      <c r="D24" s="31"/>
      <c r="E24" s="31"/>
      <c r="F24" s="31"/>
      <c r="G24" s="31"/>
      <c r="H24" s="31"/>
      <c r="I24" s="31"/>
      <c r="J24" s="31"/>
      <c r="K24" s="31"/>
      <c r="L24" s="31"/>
      <c r="M24" s="31"/>
    </row>
    <row r="25" spans="1:16" ht="14.25" customHeight="1">
      <c r="H25" s="253"/>
    </row>
    <row r="26" spans="1:16" ht="14.25" customHeight="1">
      <c r="A26" s="12" t="s">
        <v>74</v>
      </c>
      <c r="B26" s="10"/>
      <c r="C26" s="10"/>
      <c r="D26" s="10"/>
      <c r="E26" s="10"/>
      <c r="F26" s="10"/>
      <c r="N26" s="38"/>
    </row>
    <row r="27" spans="1:16" ht="14.25" customHeight="1">
      <c r="A27" s="10"/>
      <c r="B27" s="10"/>
      <c r="C27" s="10"/>
      <c r="D27" s="10"/>
      <c r="E27" s="10"/>
      <c r="F27" s="10"/>
    </row>
    <row r="28" spans="1:16" ht="14.25" customHeight="1">
      <c r="A28" s="10" t="str">
        <f>'2 Technical Input'!C6</f>
        <v>Total mass to be cooled</v>
      </c>
      <c r="B28" s="10"/>
      <c r="C28" s="10"/>
      <c r="D28" s="17" t="s">
        <v>75</v>
      </c>
      <c r="E28" s="18">
        <f>'2 Technical Input'!G6</f>
        <v>400</v>
      </c>
      <c r="F28" s="10" t="s">
        <v>76</v>
      </c>
    </row>
    <row r="29" spans="1:16" ht="14.25" customHeight="1">
      <c r="A29" s="10" t="str">
        <f>'2 Technical Input'!C7</f>
        <v xml:space="preserve"> Moisture content of the product</v>
      </c>
      <c r="B29" s="10"/>
      <c r="C29" s="10"/>
      <c r="D29" s="17" t="s">
        <v>77</v>
      </c>
      <c r="E29" s="18">
        <f>'2 Technical Input'!G7</f>
        <v>85</v>
      </c>
      <c r="F29" s="10" t="s">
        <v>15</v>
      </c>
    </row>
    <row r="30" spans="1:16" ht="14.25" customHeight="1">
      <c r="A30" s="10" t="str">
        <f>'2 Technical Input'!C8</f>
        <v xml:space="preserve"> or Heat capacity of the product</v>
      </c>
      <c r="B30" s="10"/>
      <c r="C30" s="10"/>
      <c r="D30" s="17" t="s">
        <v>78</v>
      </c>
      <c r="E30" s="18">
        <f>'2 Technical Input'!G8</f>
        <v>3.7</v>
      </c>
      <c r="F30" s="10" t="s">
        <v>79</v>
      </c>
      <c r="O30" s="39"/>
      <c r="P30" s="31"/>
    </row>
    <row r="31" spans="1:16" ht="14.25" customHeight="1">
      <c r="A31" s="10" t="s">
        <v>80</v>
      </c>
      <c r="B31" s="10"/>
      <c r="C31" s="10"/>
      <c r="D31" s="17" t="s">
        <v>78</v>
      </c>
      <c r="E31" s="40">
        <f>4.19-2.3*((100-E29)/100)-0.628*((100-E29)/100)^3</f>
        <v>3.8428805000000006</v>
      </c>
      <c r="F31" s="10" t="s">
        <v>79</v>
      </c>
    </row>
    <row r="32" spans="1:16" ht="14.25" customHeight="1">
      <c r="A32" s="10" t="s">
        <v>81</v>
      </c>
      <c r="B32" s="10"/>
      <c r="C32" s="10"/>
      <c r="D32" s="17" t="s">
        <v>78</v>
      </c>
      <c r="E32" s="40">
        <f>IF(E30&gt;0,E30,E31)</f>
        <v>3.7</v>
      </c>
      <c r="F32" s="10" t="s">
        <v>79</v>
      </c>
    </row>
    <row r="33" spans="1:16" ht="14.25" customHeight="1">
      <c r="A33" s="10"/>
      <c r="B33" s="10"/>
      <c r="C33" s="10"/>
      <c r="D33" s="17" t="s">
        <v>82</v>
      </c>
      <c r="E33" s="41">
        <v>24</v>
      </c>
      <c r="F33" s="10" t="s">
        <v>83</v>
      </c>
    </row>
    <row r="34" spans="1:16" ht="14.25" customHeight="1">
      <c r="A34" s="10" t="s">
        <v>84</v>
      </c>
      <c r="B34" s="10"/>
      <c r="C34" s="10"/>
      <c r="D34" s="10"/>
      <c r="E34" s="42">
        <v>30</v>
      </c>
      <c r="F34" s="10"/>
      <c r="O34" s="39"/>
    </row>
    <row r="35" spans="1:16" ht="14.25" customHeight="1">
      <c r="D35" s="39"/>
      <c r="E35" s="36"/>
    </row>
    <row r="36" spans="1:16" ht="14.25" customHeight="1">
      <c r="E36" s="34"/>
    </row>
    <row r="37" spans="1:16" ht="14.25" customHeight="1">
      <c r="A37" s="12" t="s">
        <v>85</v>
      </c>
      <c r="B37" s="10"/>
      <c r="C37" s="10"/>
      <c r="D37" s="17"/>
      <c r="E37" s="19"/>
      <c r="F37" s="10"/>
      <c r="O37" s="39"/>
      <c r="P37" s="31"/>
    </row>
    <row r="38" spans="1:16" ht="14.25" customHeight="1">
      <c r="A38" s="10"/>
      <c r="B38" s="10"/>
      <c r="C38" s="10"/>
      <c r="D38" s="17"/>
      <c r="E38" s="19"/>
      <c r="F38" s="10"/>
    </row>
    <row r="39" spans="1:16" ht="14.25" customHeight="1">
      <c r="A39" s="10" t="str">
        <f>'2 Technical Input'!J16</f>
        <v>Initial temperature of the product</v>
      </c>
      <c r="B39" s="10"/>
      <c r="C39" s="10"/>
      <c r="D39" s="17" t="s">
        <v>86</v>
      </c>
      <c r="E39" s="18">
        <f>'2 Technical Input'!N16</f>
        <v>25</v>
      </c>
      <c r="F39" s="10" t="s">
        <v>12</v>
      </c>
    </row>
    <row r="40" spans="1:16" ht="14.25" customHeight="1">
      <c r="A40" s="10" t="str">
        <f>'2 Technical Input'!J17</f>
        <v>Cold room temperature set-point</v>
      </c>
      <c r="B40" s="10"/>
      <c r="C40" s="10"/>
      <c r="D40" s="17" t="s">
        <v>87</v>
      </c>
      <c r="E40" s="18">
        <f>'2 Technical Input'!N17</f>
        <v>10</v>
      </c>
      <c r="F40" s="10" t="s">
        <v>12</v>
      </c>
    </row>
    <row r="41" spans="1:16" ht="14.25" customHeight="1">
      <c r="E41" s="34"/>
      <c r="N41" s="38"/>
    </row>
    <row r="42" spans="1:16" ht="14.25" customHeight="1">
      <c r="A42" s="10" t="s">
        <v>88</v>
      </c>
      <c r="B42" s="10"/>
      <c r="C42" s="10"/>
      <c r="D42" s="17" t="s">
        <v>89</v>
      </c>
      <c r="E42" s="43">
        <f>MAX(B4:M4)</f>
        <v>23.5</v>
      </c>
      <c r="F42" s="10" t="s">
        <v>12</v>
      </c>
    </row>
    <row r="43" spans="1:16" ht="14.25" customHeight="1">
      <c r="A43" s="10" t="s">
        <v>90</v>
      </c>
      <c r="B43" s="10"/>
      <c r="C43" s="10"/>
      <c r="D43" s="17" t="s">
        <v>91</v>
      </c>
      <c r="E43" s="18">
        <f>E40-5</f>
        <v>5</v>
      </c>
      <c r="F43" s="10" t="s">
        <v>12</v>
      </c>
    </row>
    <row r="44" spans="1:16" ht="14.25" customHeight="1">
      <c r="A44" s="10" t="s">
        <v>92</v>
      </c>
      <c r="B44" s="10"/>
      <c r="C44" s="10"/>
      <c r="D44" s="10"/>
      <c r="E44" s="18">
        <v>0.23</v>
      </c>
      <c r="F44" s="10"/>
      <c r="O44" s="39"/>
      <c r="P44" s="31"/>
    </row>
    <row r="45" spans="1:16" ht="14.25" customHeight="1">
      <c r="D45" s="39" t="s">
        <v>93</v>
      </c>
      <c r="E45" s="40">
        <f>$E$44*(1/((E42+273.15)/($E$43+273.15)-1))</f>
        <v>3.4580810810810818</v>
      </c>
    </row>
    <row r="46" spans="1:16" ht="14.25" customHeight="1">
      <c r="E46" s="34"/>
    </row>
    <row r="47" spans="1:16" ht="14.25" customHeight="1">
      <c r="E47" s="34"/>
    </row>
    <row r="48" spans="1:16" ht="14.25" customHeight="1">
      <c r="A48" s="12" t="s">
        <v>94</v>
      </c>
      <c r="B48" s="10"/>
      <c r="C48" s="10"/>
      <c r="D48" s="17"/>
      <c r="E48" s="19"/>
      <c r="F48" s="10"/>
    </row>
    <row r="49" spans="1:17" ht="14.25" customHeight="1">
      <c r="A49" s="10"/>
      <c r="B49" s="10"/>
      <c r="C49" s="10"/>
      <c r="D49" s="17"/>
      <c r="E49" s="19"/>
      <c r="F49" s="10"/>
    </row>
    <row r="50" spans="1:17" ht="14.25" customHeight="1">
      <c r="A50" s="10" t="s">
        <v>95</v>
      </c>
      <c r="B50" s="10"/>
      <c r="C50" s="10"/>
      <c r="D50" s="17" t="s">
        <v>16</v>
      </c>
      <c r="E50" s="18">
        <f>'2 Technical Input'!G26</f>
        <v>2.7</v>
      </c>
      <c r="F50" s="10" t="s">
        <v>6</v>
      </c>
    </row>
    <row r="51" spans="1:17" ht="14.25" customHeight="1">
      <c r="A51" s="10" t="s">
        <v>96</v>
      </c>
      <c r="B51" s="10"/>
      <c r="C51" s="10"/>
      <c r="D51" s="17" t="s">
        <v>17</v>
      </c>
      <c r="E51" s="18">
        <f>'2 Technical Input'!G27</f>
        <v>3.8</v>
      </c>
      <c r="F51" s="10" t="s">
        <v>6</v>
      </c>
    </row>
    <row r="52" spans="1:17" ht="14.25" customHeight="1">
      <c r="A52" s="10" t="s">
        <v>97</v>
      </c>
      <c r="B52" s="10"/>
      <c r="C52" s="10"/>
      <c r="D52" s="17" t="s">
        <v>18</v>
      </c>
      <c r="E52" s="18">
        <f>'2 Technical Input'!G28</f>
        <v>2.1</v>
      </c>
      <c r="F52" s="10" t="s">
        <v>6</v>
      </c>
    </row>
    <row r="53" spans="1:17" ht="14.25" customHeight="1">
      <c r="A53" s="10" t="s">
        <v>98</v>
      </c>
      <c r="B53" s="10"/>
      <c r="C53" s="10"/>
      <c r="D53" s="17" t="s">
        <v>99</v>
      </c>
      <c r="E53" s="18">
        <f>2*(E50*E51+E51*E52+E50*E52)</f>
        <v>47.82</v>
      </c>
      <c r="F53" s="10" t="s">
        <v>100</v>
      </c>
    </row>
    <row r="54" spans="1:17" ht="14.25" customHeight="1">
      <c r="A54" s="10" t="str">
        <f>'2 Technical Input'!C29</f>
        <v>Thermal conductivity of insulation</v>
      </c>
      <c r="B54" s="10"/>
      <c r="C54" s="10"/>
      <c r="D54" s="17" t="s">
        <v>101</v>
      </c>
      <c r="E54" s="18">
        <f>'2 Technical Input'!G29</f>
        <v>0.06</v>
      </c>
      <c r="F54" s="10" t="s">
        <v>19</v>
      </c>
    </row>
    <row r="55" spans="1:17" ht="14.25" customHeight="1">
      <c r="A55" s="10" t="str">
        <f>'2 Technical Input'!C30</f>
        <v>Thickness of insulation</v>
      </c>
      <c r="B55" s="10"/>
      <c r="C55" s="10"/>
      <c r="D55" s="17" t="s">
        <v>20</v>
      </c>
      <c r="E55" s="18">
        <f>'2 Technical Input'!G30</f>
        <v>0.3</v>
      </c>
      <c r="F55" s="10" t="s">
        <v>6</v>
      </c>
    </row>
    <row r="56" spans="1:17" ht="14.25" customHeight="1">
      <c r="D56" s="39" t="s">
        <v>102</v>
      </c>
      <c r="E56" s="18">
        <f>E54/E55</f>
        <v>0.2</v>
      </c>
    </row>
    <row r="57" spans="1:17" ht="14.25" customHeight="1">
      <c r="A57" s="10" t="s">
        <v>103</v>
      </c>
      <c r="B57" s="10"/>
      <c r="C57" s="10"/>
      <c r="D57" s="17" t="s">
        <v>104</v>
      </c>
      <c r="E57" s="44">
        <f>'2 Technical Input'!G25</f>
        <v>21.545999999999999</v>
      </c>
      <c r="F57" s="24" t="s">
        <v>105</v>
      </c>
      <c r="O57" s="24" t="s">
        <v>106</v>
      </c>
    </row>
    <row r="58" spans="1:17" ht="14.25" customHeight="1">
      <c r="E58" s="34"/>
      <c r="P58" s="24" t="s">
        <v>14</v>
      </c>
      <c r="Q58" s="24">
        <f>IF(H86="Yes",1,0)</f>
        <v>1</v>
      </c>
    </row>
    <row r="59" spans="1:17" ht="14.25" customHeight="1">
      <c r="E59" s="34"/>
      <c r="P59" s="24" t="s">
        <v>21</v>
      </c>
      <c r="Q59" s="24">
        <f>1-Q58</f>
        <v>0</v>
      </c>
    </row>
    <row r="60" spans="1:17" ht="14.25" customHeight="1">
      <c r="A60" s="12" t="s">
        <v>107</v>
      </c>
      <c r="B60" s="10"/>
      <c r="C60" s="10"/>
      <c r="D60" s="17"/>
      <c r="E60" s="19"/>
      <c r="F60" s="10"/>
    </row>
    <row r="61" spans="1:17" ht="14.25" customHeight="1">
      <c r="A61" s="10" t="str">
        <f>'2 Technical Input'!C31</f>
        <v>Ice storage inside the cold room?</v>
      </c>
      <c r="B61" s="10"/>
      <c r="C61" s="10"/>
      <c r="D61" s="17"/>
      <c r="E61" s="18" t="str">
        <f>IF(OR('2 Technical Input'!G31=Translation!E86,'2 Technical Input'!G31=Translation!F86,'2 Technical Input'!G31=Translation!G86,'2 Technical Input'!G31=Translation!H86),"Yes","No")</f>
        <v>Yes</v>
      </c>
      <c r="F61" s="10"/>
      <c r="G61" s="24">
        <f>IF(E61="Yes",0,1)</f>
        <v>0</v>
      </c>
    </row>
    <row r="62" spans="1:17" ht="14.25" customHeight="1">
      <c r="A62" s="10" t="s">
        <v>108</v>
      </c>
      <c r="B62" s="10"/>
      <c r="C62" s="10"/>
      <c r="D62" s="17"/>
      <c r="E62" s="18" t="str">
        <f>IF(OR('2 Technical Input'!G20=Translation!E86,'2 Technical Input'!G20=Translation!F86,'2 Technical Input'!G20=Translation!G86,'2 Technical Input'!G20=Translation!H86),"Yes","No")</f>
        <v>Yes</v>
      </c>
      <c r="F62" s="10"/>
      <c r="G62" s="24">
        <f>IF(E62="Yes",1,0)</f>
        <v>1</v>
      </c>
    </row>
    <row r="63" spans="1:17" ht="14.25" customHeight="1">
      <c r="A63" s="10" t="str">
        <f>'2 Technical Input'!C21</f>
        <v>Autonomy of the system</v>
      </c>
      <c r="B63" s="10"/>
      <c r="C63" s="10"/>
      <c r="D63" s="17"/>
      <c r="E63" s="18">
        <v>0.9</v>
      </c>
      <c r="F63" s="10"/>
    </row>
    <row r="64" spans="1:17" ht="14.25" customHeight="1">
      <c r="A64" s="97" t="s">
        <v>384</v>
      </c>
      <c r="B64" s="97"/>
      <c r="C64" s="97"/>
      <c r="D64" s="98"/>
      <c r="E64" s="99">
        <v>25</v>
      </c>
      <c r="F64" s="97" t="s">
        <v>15</v>
      </c>
    </row>
    <row r="65" spans="1:21" ht="14.25" customHeight="1">
      <c r="A65" s="100"/>
      <c r="B65" s="100"/>
      <c r="C65" s="100"/>
      <c r="D65" s="101"/>
      <c r="E65" s="102"/>
      <c r="F65" s="100"/>
    </row>
    <row r="66" spans="1:21" ht="14.25" customHeight="1">
      <c r="A66" s="103" t="s">
        <v>385</v>
      </c>
      <c r="B66" s="104"/>
      <c r="C66" s="104"/>
      <c r="D66" s="104"/>
      <c r="E66" s="105"/>
      <c r="F66" s="104"/>
    </row>
    <row r="67" spans="1:21" ht="14.25" customHeight="1">
      <c r="A67" s="100" t="s">
        <v>386</v>
      </c>
      <c r="B67" s="104"/>
      <c r="C67" s="104"/>
      <c r="D67" s="104"/>
      <c r="E67" s="105">
        <f>'2 Technical Input'!N25</f>
        <v>75</v>
      </c>
      <c r="F67" s="104"/>
    </row>
    <row r="68" spans="1:21" ht="14.25" customHeight="1">
      <c r="E68" s="34"/>
    </row>
    <row r="69" spans="1:21" ht="14.25" customHeight="1">
      <c r="A69" s="12" t="s">
        <v>109</v>
      </c>
      <c r="B69" s="10"/>
      <c r="C69" s="10"/>
      <c r="D69" s="10"/>
      <c r="E69" s="19"/>
      <c r="F69" s="10"/>
      <c r="H69" s="38" t="s">
        <v>110</v>
      </c>
      <c r="N69" s="38"/>
      <c r="S69" s="38"/>
    </row>
    <row r="70" spans="1:21" ht="14.25" customHeight="1">
      <c r="A70" s="10"/>
      <c r="B70" s="10"/>
      <c r="C70" s="10"/>
      <c r="D70" s="10"/>
      <c r="E70" s="19"/>
      <c r="F70" s="10"/>
      <c r="N70" s="38" t="s">
        <v>111</v>
      </c>
      <c r="S70" s="38" t="s">
        <v>112</v>
      </c>
    </row>
    <row r="71" spans="1:21" ht="14.25" customHeight="1">
      <c r="A71" s="10" t="e">
        <f>'2 Technical Input'!#REF!</f>
        <v>#REF!</v>
      </c>
      <c r="B71" s="10"/>
      <c r="C71" s="10"/>
      <c r="D71" s="10"/>
      <c r="E71" s="18" t="e">
        <f>'2 Technical Input'!#REF!</f>
        <v>#REF!</v>
      </c>
      <c r="F71" s="10"/>
    </row>
    <row r="72" spans="1:21" ht="14.25" customHeight="1">
      <c r="A72" s="10" t="e">
        <f>'2 Technical Input'!#REF!</f>
        <v>#REF!</v>
      </c>
      <c r="B72" s="10"/>
      <c r="C72" s="10"/>
      <c r="D72" s="10"/>
      <c r="E72" s="18" t="e">
        <f>'2 Technical Input'!#REF!</f>
        <v>#REF!</v>
      </c>
      <c r="F72" s="10" t="e">
        <f>E71&amp;"/Wp"</f>
        <v>#REF!</v>
      </c>
      <c r="H72" s="24" t="s">
        <v>113</v>
      </c>
      <c r="K72" s="24" t="e">
        <f>E80*E28*E34*12</f>
        <v>#REF!</v>
      </c>
      <c r="L72" s="24" t="e">
        <f>E71&amp;"/year"</f>
        <v>#REF!</v>
      </c>
      <c r="N72" s="24" t="s">
        <v>114</v>
      </c>
      <c r="P72" s="24" t="e">
        <f>(P21+P19)*E72</f>
        <v>#REF!</v>
      </c>
      <c r="S72" s="24" t="s">
        <v>114</v>
      </c>
      <c r="U72" s="24" t="e">
        <f>P19*E72</f>
        <v>#REF!</v>
      </c>
    </row>
    <row r="73" spans="1:21" ht="14.25" customHeight="1">
      <c r="A73" s="10" t="e">
        <f>'2 Technical Input'!#REF!</f>
        <v>#REF!</v>
      </c>
      <c r="B73" s="10"/>
      <c r="C73" s="10"/>
      <c r="D73" s="10"/>
      <c r="E73" s="18" t="e">
        <f>'2 Technical Input'!#REF!</f>
        <v>#REF!</v>
      </c>
      <c r="F73" s="10" t="s">
        <v>115</v>
      </c>
      <c r="H73" s="5" t="s">
        <v>116</v>
      </c>
      <c r="I73" s="5"/>
      <c r="J73" s="5"/>
      <c r="K73" s="5" t="e">
        <f>E81*12</f>
        <v>#REF!</v>
      </c>
      <c r="L73" s="5" t="e">
        <f>E71&amp;"/year"</f>
        <v>#REF!</v>
      </c>
      <c r="N73" s="24" t="s">
        <v>117</v>
      </c>
      <c r="P73" s="24" t="e">
        <f>E73</f>
        <v>#REF!</v>
      </c>
      <c r="S73" s="24" t="s">
        <v>117</v>
      </c>
      <c r="U73" s="24" t="e">
        <f>E73</f>
        <v>#REF!</v>
      </c>
    </row>
    <row r="74" spans="1:21" ht="14.25" customHeight="1">
      <c r="A74" s="10" t="e">
        <f>'2 Technical Input'!#REF!</f>
        <v>#REF!</v>
      </c>
      <c r="B74" s="10"/>
      <c r="C74" s="10"/>
      <c r="D74" s="10"/>
      <c r="E74" s="18" t="e">
        <f>'2 Technical Input'!#REF!</f>
        <v>#REF!</v>
      </c>
      <c r="F74" s="10" t="e">
        <f>E71&amp;"/Ah@12V"</f>
        <v>#REF!</v>
      </c>
      <c r="H74" s="3" t="s">
        <v>118</v>
      </c>
      <c r="K74" s="24" t="e">
        <f>SUM(K72:K73)</f>
        <v>#REF!</v>
      </c>
      <c r="L74" s="24" t="e">
        <f>E71&amp;"/year"</f>
        <v>#REF!</v>
      </c>
      <c r="N74" s="24" t="s">
        <v>119</v>
      </c>
      <c r="P74" s="45" t="e">
        <f>(P22+P23)*E74</f>
        <v>#REF!</v>
      </c>
    </row>
    <row r="75" spans="1:21" ht="14.25" customHeight="1">
      <c r="A75" s="10" t="e">
        <f>'2 Technical Input'!#REF!</f>
        <v>#REF!</v>
      </c>
      <c r="B75" s="10"/>
      <c r="C75" s="10"/>
      <c r="D75" s="10"/>
      <c r="E75" s="18" t="e">
        <f>'2 Technical Input'!#REF!</f>
        <v>#REF!</v>
      </c>
      <c r="F75" s="10" t="s">
        <v>115</v>
      </c>
      <c r="N75" s="24" t="s">
        <v>120</v>
      </c>
      <c r="P75" s="24" t="e">
        <f>E75</f>
        <v>#REF!</v>
      </c>
    </row>
    <row r="76" spans="1:21" ht="14.25" customHeight="1">
      <c r="A76" s="10" t="e">
        <f>'2 Technical Input'!#REF!</f>
        <v>#REF!</v>
      </c>
      <c r="B76" s="10"/>
      <c r="C76" s="10"/>
      <c r="D76" s="10"/>
      <c r="E76" s="18" t="e">
        <f>'2 Technical Input'!#REF!</f>
        <v>#REF!</v>
      </c>
      <c r="F76" s="10" t="e">
        <f>E71</f>
        <v>#REF!</v>
      </c>
      <c r="N76" s="24" t="s">
        <v>121</v>
      </c>
      <c r="P76" s="24" t="e">
        <f>P20*E76</f>
        <v>#REF!</v>
      </c>
      <c r="S76" s="24" t="s">
        <v>121</v>
      </c>
      <c r="U76" s="24" t="e">
        <f>P18*E76</f>
        <v>#REF!</v>
      </c>
    </row>
    <row r="77" spans="1:21" ht="14.25" customHeight="1">
      <c r="A77" s="10" t="e">
        <f>'2 Technical Input'!#REF!</f>
        <v>#REF!</v>
      </c>
      <c r="B77" s="10"/>
      <c r="C77" s="10"/>
      <c r="D77" s="10"/>
      <c r="E77" s="18" t="e">
        <f>'2 Technical Input'!#REF!</f>
        <v>#REF!</v>
      </c>
      <c r="F77" s="10" t="s">
        <v>115</v>
      </c>
      <c r="N77" s="24" t="s">
        <v>122</v>
      </c>
      <c r="P77" s="24" t="e">
        <f t="shared" ref="P77:P79" si="20">E77</f>
        <v>#REF!</v>
      </c>
      <c r="S77" s="24" t="s">
        <v>122</v>
      </c>
      <c r="U77" s="24" t="e">
        <f t="shared" ref="U77:U79" si="21">E77</f>
        <v>#REF!</v>
      </c>
    </row>
    <row r="78" spans="1:21" ht="14.25" customHeight="1">
      <c r="A78" s="10" t="e">
        <f>'2 Technical Input'!#REF!</f>
        <v>#REF!</v>
      </c>
      <c r="B78" s="10"/>
      <c r="C78" s="10"/>
      <c r="D78" s="10"/>
      <c r="E78" s="18" t="e">
        <f>'2 Technical Input'!#REF!</f>
        <v>#REF!</v>
      </c>
      <c r="F78" s="10" t="e">
        <f>E71</f>
        <v>#REF!</v>
      </c>
      <c r="N78" s="24" t="s">
        <v>123</v>
      </c>
      <c r="P78" s="24" t="e">
        <f t="shared" si="20"/>
        <v>#REF!</v>
      </c>
      <c r="S78" s="24" t="s">
        <v>123</v>
      </c>
      <c r="U78" s="24" t="e">
        <f t="shared" si="21"/>
        <v>#REF!</v>
      </c>
    </row>
    <row r="79" spans="1:21" ht="14.25" customHeight="1">
      <c r="A79" s="10" t="e">
        <f>'2 Technical Input'!#REF!</f>
        <v>#REF!</v>
      </c>
      <c r="B79" s="10"/>
      <c r="C79" s="10"/>
      <c r="D79" s="10"/>
      <c r="E79" s="18" t="e">
        <f>'2 Technical Input'!#REF!</f>
        <v>#REF!</v>
      </c>
      <c r="F79" s="10" t="e">
        <f>E71&amp;"/year"</f>
        <v>#REF!</v>
      </c>
      <c r="N79" s="24" t="s">
        <v>124</v>
      </c>
      <c r="P79" s="24" t="e">
        <f t="shared" si="20"/>
        <v>#REF!</v>
      </c>
      <c r="S79" s="24" t="s">
        <v>124</v>
      </c>
      <c r="U79" s="45" t="e">
        <f t="shared" si="21"/>
        <v>#REF!</v>
      </c>
    </row>
    <row r="80" spans="1:21" ht="14.25" customHeight="1">
      <c r="A80" s="10" t="e">
        <f>'2 Technical Input'!#REF!</f>
        <v>#REF!</v>
      </c>
      <c r="B80" s="10"/>
      <c r="C80" s="10"/>
      <c r="D80" s="10"/>
      <c r="E80" s="18" t="e">
        <f>'2 Technical Input'!#REF!</f>
        <v>#REF!</v>
      </c>
      <c r="F80" s="10" t="e">
        <f>E71&amp;"/kg or l"</f>
        <v>#REF!</v>
      </c>
      <c r="O80" s="45"/>
    </row>
    <row r="81" spans="1:14" ht="14.25" customHeight="1">
      <c r="A81" s="10" t="e">
        <f>'2 Technical Input'!#REF!</f>
        <v>#REF!</v>
      </c>
      <c r="B81" s="10"/>
      <c r="C81" s="10"/>
      <c r="D81" s="10"/>
      <c r="E81" s="18" t="e">
        <f>'2 Technical Input'!#REF!</f>
        <v>#REF!</v>
      </c>
      <c r="F81" s="10" t="e">
        <f>E71&amp;"/year"</f>
        <v>#REF!</v>
      </c>
    </row>
    <row r="82" spans="1:14" ht="14.25" customHeight="1">
      <c r="A82" s="10" t="e">
        <f>'2 Technical Input'!#REF!</f>
        <v>#REF!</v>
      </c>
      <c r="B82" s="10"/>
      <c r="C82" s="10"/>
      <c r="D82" s="10"/>
      <c r="E82" s="18" t="e">
        <f>'2 Technical Input'!#REF!</f>
        <v>#REF!</v>
      </c>
      <c r="F82" s="10" t="s">
        <v>15</v>
      </c>
    </row>
    <row r="83" spans="1:14" ht="14.25" customHeight="1">
      <c r="A83" s="10" t="e">
        <f>'2 Technical Input'!#REF!</f>
        <v>#REF!</v>
      </c>
      <c r="B83" s="10"/>
      <c r="C83" s="10"/>
      <c r="D83" s="10"/>
      <c r="E83" s="18" t="e">
        <f>'2 Technical Input'!#REF!</f>
        <v>#REF!</v>
      </c>
      <c r="F83" s="10" t="s">
        <v>15</v>
      </c>
    </row>
    <row r="84" spans="1:14" ht="14.25" customHeight="1"/>
    <row r="85" spans="1:14" ht="14.25" customHeight="1"/>
    <row r="86" spans="1:14" ht="14.25" customHeight="1">
      <c r="B86" s="38" t="s">
        <v>125</v>
      </c>
      <c r="F86" s="24" t="s">
        <v>126</v>
      </c>
      <c r="H86" s="24" t="str">
        <f>E62</f>
        <v>Yes</v>
      </c>
    </row>
    <row r="87" spans="1:14" ht="14.25" customHeight="1">
      <c r="A87" s="38" t="s">
        <v>128</v>
      </c>
    </row>
    <row r="88" spans="1:14" ht="14.25" customHeight="1"/>
    <row r="89" spans="1:14" ht="14.25" customHeight="1">
      <c r="A89" s="10" t="s">
        <v>129</v>
      </c>
      <c r="B89" s="10"/>
      <c r="C89" s="10"/>
      <c r="D89" s="17" t="s">
        <v>130</v>
      </c>
      <c r="E89" s="18">
        <f>'2 Technical Input'!N16</f>
        <v>25</v>
      </c>
      <c r="F89" s="10" t="s">
        <v>12</v>
      </c>
      <c r="M89" s="46" t="s">
        <v>131</v>
      </c>
      <c r="N89" s="47" t="str">
        <f>P110</f>
        <v>Temperature of the product</v>
      </c>
    </row>
    <row r="90" spans="1:14" ht="14.25" customHeight="1">
      <c r="A90" s="10" t="s">
        <v>132</v>
      </c>
      <c r="B90" s="10"/>
      <c r="C90" s="10"/>
      <c r="D90" s="17" t="s">
        <v>133</v>
      </c>
      <c r="E90" s="18">
        <f>'2 Technical Input'!N17</f>
        <v>10</v>
      </c>
      <c r="F90" s="10" t="s">
        <v>12</v>
      </c>
      <c r="M90" s="48">
        <v>0</v>
      </c>
      <c r="N90" s="13">
        <f>E89</f>
        <v>25</v>
      </c>
    </row>
    <row r="91" spans="1:14" ht="14.25" customHeight="1">
      <c r="M91" s="48">
        <v>1</v>
      </c>
      <c r="N91" s="49">
        <f t="shared" ref="N91:N114" si="22">($E$90-($E$90-$E$89)*EXP(-M91*3600/$B$102))</f>
        <v>17.13139897252103</v>
      </c>
    </row>
    <row r="92" spans="1:14" ht="14.25" customHeight="1">
      <c r="A92" s="10" t="s">
        <v>134</v>
      </c>
      <c r="B92" s="10"/>
      <c r="C92" s="10"/>
      <c r="D92" s="17" t="s">
        <v>75</v>
      </c>
      <c r="E92" s="18">
        <f>'2 Technical Input'!G6</f>
        <v>400</v>
      </c>
      <c r="F92" s="10" t="s">
        <v>4</v>
      </c>
      <c r="M92" s="48">
        <v>2</v>
      </c>
      <c r="N92" s="49">
        <f t="shared" si="22"/>
        <v>13.390456753684932</v>
      </c>
    </row>
    <row r="93" spans="1:14" ht="14.25" customHeight="1">
      <c r="A93" s="10" t="s">
        <v>135</v>
      </c>
      <c r="B93" s="10"/>
      <c r="C93" s="10"/>
      <c r="D93" s="17" t="s">
        <v>77</v>
      </c>
      <c r="E93" s="18">
        <f>'2 Technical Input'!G7</f>
        <v>85</v>
      </c>
      <c r="F93" s="10" t="s">
        <v>136</v>
      </c>
      <c r="M93" s="48">
        <v>3</v>
      </c>
      <c r="N93" s="49">
        <f t="shared" si="22"/>
        <v>11.61191332064038</v>
      </c>
    </row>
    <row r="94" spans="1:14" ht="14.25" customHeight="1">
      <c r="A94" s="10" t="s">
        <v>137</v>
      </c>
      <c r="B94" s="10"/>
      <c r="C94" s="10"/>
      <c r="D94" s="17" t="s">
        <v>78</v>
      </c>
      <c r="E94" s="18">
        <f>'2 Technical Input'!G8</f>
        <v>3.7</v>
      </c>
      <c r="F94" s="10" t="s">
        <v>79</v>
      </c>
      <c r="H94" s="10" t="s">
        <v>138</v>
      </c>
      <c r="I94" s="10"/>
      <c r="J94" s="10"/>
      <c r="K94" s="31">
        <f>4.19-2.3*((100-E93)/100)-0.628*((100-E93)/100)^3</f>
        <v>3.8428805000000006</v>
      </c>
      <c r="L94" s="10" t="s">
        <v>79</v>
      </c>
      <c r="M94" s="48">
        <v>4</v>
      </c>
      <c r="N94" s="49">
        <f t="shared" si="22"/>
        <v>10.766346466573852</v>
      </c>
    </row>
    <row r="95" spans="1:14" ht="14.25" customHeight="1">
      <c r="A95" s="10" t="s">
        <v>139</v>
      </c>
      <c r="B95" s="10"/>
      <c r="C95" s="10"/>
      <c r="D95" s="17" t="s">
        <v>5</v>
      </c>
      <c r="E95" s="18">
        <f>'2 Technical Input'!G9</f>
        <v>3.5000000000000003E-2</v>
      </c>
      <c r="F95" s="10" t="s">
        <v>6</v>
      </c>
      <c r="H95" s="10" t="s">
        <v>140</v>
      </c>
      <c r="I95" s="10"/>
      <c r="J95" s="10"/>
      <c r="K95" s="31">
        <f>IF(E94&gt;0,E94,K94)</f>
        <v>3.7</v>
      </c>
      <c r="L95" s="10" t="s">
        <v>79</v>
      </c>
      <c r="M95" s="48">
        <v>5</v>
      </c>
      <c r="N95" s="49">
        <f t="shared" si="22"/>
        <v>10.364341493621325</v>
      </c>
    </row>
    <row r="96" spans="1:14" ht="14.25" customHeight="1">
      <c r="A96" s="10" t="s">
        <v>141</v>
      </c>
      <c r="B96" s="10"/>
      <c r="C96" s="10"/>
      <c r="D96" s="17" t="s">
        <v>7</v>
      </c>
      <c r="E96" s="18">
        <f>'2 Technical Input'!G10</f>
        <v>997</v>
      </c>
      <c r="F96" s="10" t="s">
        <v>8</v>
      </c>
      <c r="M96" s="48">
        <v>6</v>
      </c>
      <c r="N96" s="49">
        <f t="shared" si="22"/>
        <v>10.17321763688386</v>
      </c>
    </row>
    <row r="97" spans="1:16" ht="14.25" customHeight="1">
      <c r="A97" s="10" t="s">
        <v>142</v>
      </c>
      <c r="B97" s="10"/>
      <c r="C97" s="10"/>
      <c r="D97" s="17" t="s">
        <v>9</v>
      </c>
      <c r="E97" s="18">
        <f>'2 Technical Input'!G11</f>
        <v>5</v>
      </c>
      <c r="F97" s="10" t="s">
        <v>10</v>
      </c>
      <c r="M97" s="48">
        <v>7</v>
      </c>
      <c r="N97" s="49">
        <f t="shared" si="22"/>
        <v>10.082352271846405</v>
      </c>
    </row>
    <row r="98" spans="1:16" ht="14.25" customHeight="1">
      <c r="A98" s="10"/>
      <c r="B98" s="10"/>
      <c r="C98" s="10"/>
      <c r="D98" s="17"/>
      <c r="E98" s="18"/>
      <c r="F98" s="10"/>
      <c r="M98" s="48">
        <v>8</v>
      </c>
      <c r="N98" s="49">
        <f t="shared" si="22"/>
        <v>10.039152460455348</v>
      </c>
    </row>
    <row r="99" spans="1:16" ht="14.25" customHeight="1">
      <c r="M99" s="48">
        <v>9</v>
      </c>
      <c r="N99" s="49">
        <f t="shared" si="22"/>
        <v>10.018614121084196</v>
      </c>
    </row>
    <row r="100" spans="1:16" ht="14.25" customHeight="1">
      <c r="A100" s="10" t="s">
        <v>143</v>
      </c>
      <c r="B100" s="50">
        <f>3/4*PI()*E95^3</f>
        <v>1.0102183876699681E-4</v>
      </c>
      <c r="C100" s="24" t="s">
        <v>144</v>
      </c>
      <c r="M100" s="48">
        <v>10</v>
      </c>
      <c r="N100" s="49">
        <f t="shared" si="22"/>
        <v>10.008849648264947</v>
      </c>
    </row>
    <row r="101" spans="1:16" ht="14.25" customHeight="1">
      <c r="A101" s="10" t="s">
        <v>145</v>
      </c>
      <c r="B101" s="44">
        <f>4*PI()*E95^2</f>
        <v>1.5393804002589988E-2</v>
      </c>
      <c r="C101" s="24" t="s">
        <v>100</v>
      </c>
      <c r="M101" s="48">
        <v>11</v>
      </c>
      <c r="N101" s="49">
        <f t="shared" si="22"/>
        <v>10.004207358169587</v>
      </c>
    </row>
    <row r="102" spans="1:16" ht="14.25" customHeight="1">
      <c r="A102" s="10" t="s">
        <v>146</v>
      </c>
      <c r="B102" s="31">
        <f>3600*E96*K95*0.277778*B100/(B101*E97)</f>
        <v>4841.6851233450006</v>
      </c>
      <c r="C102" s="24" t="s">
        <v>147</v>
      </c>
      <c r="M102" s="48">
        <v>12</v>
      </c>
      <c r="N102" s="49">
        <f t="shared" si="22"/>
        <v>10.002000289981842</v>
      </c>
    </row>
    <row r="103" spans="1:16" ht="14.25" customHeight="1">
      <c r="A103" s="10" t="s">
        <v>148</v>
      </c>
      <c r="B103" s="44">
        <f>E96*B100*1000</f>
        <v>100.71877325069582</v>
      </c>
      <c r="C103" s="24" t="s">
        <v>149</v>
      </c>
      <c r="M103" s="48">
        <v>13</v>
      </c>
      <c r="N103" s="49">
        <f t="shared" si="22"/>
        <v>10.000950991061417</v>
      </c>
      <c r="O103" s="24" t="s">
        <v>150</v>
      </c>
    </row>
    <row r="104" spans="1:16" ht="14.25" customHeight="1">
      <c r="A104" s="10" t="s">
        <v>103</v>
      </c>
      <c r="B104" s="44">
        <f>'2 Technical Input'!G25</f>
        <v>21.545999999999999</v>
      </c>
      <c r="C104" s="24" t="s">
        <v>105</v>
      </c>
      <c r="H104" s="24" t="s">
        <v>151</v>
      </c>
      <c r="M104" s="48">
        <v>14</v>
      </c>
      <c r="N104" s="49">
        <f t="shared" si="22"/>
        <v>10.000452126445218</v>
      </c>
    </row>
    <row r="105" spans="1:16" ht="14.25" customHeight="1">
      <c r="H105" s="24" t="s">
        <v>152</v>
      </c>
      <c r="M105" s="48">
        <v>15</v>
      </c>
      <c r="N105" s="49">
        <f t="shared" si="22"/>
        <v>10.000214952937792</v>
      </c>
      <c r="P105" s="24" t="s">
        <v>153</v>
      </c>
    </row>
    <row r="106" spans="1:16" ht="14.25" customHeight="1">
      <c r="H106" s="51" t="s">
        <v>154</v>
      </c>
      <c r="M106" s="48">
        <v>16</v>
      </c>
      <c r="N106" s="49">
        <f t="shared" si="22"/>
        <v>10.000102194343981</v>
      </c>
    </row>
    <row r="107" spans="1:16" ht="14.25" customHeight="1">
      <c r="M107" s="48">
        <v>17</v>
      </c>
      <c r="N107" s="49">
        <f t="shared" si="22"/>
        <v>10.00004858590931</v>
      </c>
      <c r="P107" s="24" t="str">
        <f>Translation!B114</f>
        <v>Cooling curve</v>
      </c>
    </row>
    <row r="108" spans="1:16" ht="14.25" customHeight="1">
      <c r="A108" s="38" t="s">
        <v>155</v>
      </c>
      <c r="M108" s="48">
        <v>18</v>
      </c>
      <c r="N108" s="49">
        <f t="shared" si="22"/>
        <v>10.000023099033582</v>
      </c>
      <c r="P108" s="24" t="str">
        <f>Translation!B115</f>
        <v>Temperature in °C</v>
      </c>
    </row>
    <row r="109" spans="1:16" ht="14.25" customHeight="1">
      <c r="M109" s="48">
        <v>19</v>
      </c>
      <c r="N109" s="49">
        <f t="shared" si="22"/>
        <v>10.000010981894958</v>
      </c>
      <c r="P109" s="24" t="str">
        <f>Translation!B116</f>
        <v>Time in h</v>
      </c>
    </row>
    <row r="110" spans="1:16" ht="14.25" customHeight="1">
      <c r="M110" s="48">
        <v>20</v>
      </c>
      <c r="N110" s="49">
        <f t="shared" si="22"/>
        <v>10.000005221084962</v>
      </c>
      <c r="P110" s="24" t="str">
        <f>Translation!B117</f>
        <v>Temperature of the product</v>
      </c>
    </row>
    <row r="111" spans="1:16" ht="14.25" customHeight="1">
      <c r="A111" s="10" t="s">
        <v>134</v>
      </c>
      <c r="B111" s="10"/>
      <c r="C111" s="10"/>
      <c r="D111" s="17" t="s">
        <v>75</v>
      </c>
      <c r="E111" s="18">
        <f>'2 Technical Input'!G6</f>
        <v>400</v>
      </c>
      <c r="F111" s="10" t="s">
        <v>4</v>
      </c>
      <c r="M111" s="48">
        <v>21</v>
      </c>
      <c r="N111" s="49">
        <f t="shared" si="22"/>
        <v>10.000002482242662</v>
      </c>
    </row>
    <row r="112" spans="1:16" ht="14.25" customHeight="1">
      <c r="A112" s="10" t="s">
        <v>156</v>
      </c>
      <c r="B112" s="10"/>
      <c r="C112" s="10"/>
      <c r="D112" s="17" t="s">
        <v>99</v>
      </c>
      <c r="E112" s="18">
        <f>E53</f>
        <v>47.82</v>
      </c>
      <c r="F112" s="10" t="s">
        <v>100</v>
      </c>
      <c r="M112" s="48">
        <v>22</v>
      </c>
      <c r="N112" s="49">
        <f t="shared" si="22"/>
        <v>10.000001180124185</v>
      </c>
    </row>
    <row r="113" spans="1:14" ht="14.25" customHeight="1">
      <c r="A113" s="10" t="s">
        <v>157</v>
      </c>
      <c r="B113" s="10"/>
      <c r="C113" s="10"/>
      <c r="D113" s="17" t="s">
        <v>158</v>
      </c>
      <c r="E113" s="18">
        <f>'2 Technical Input'!G29</f>
        <v>0.06</v>
      </c>
      <c r="F113" s="10" t="s">
        <v>19</v>
      </c>
      <c r="M113" s="48">
        <v>23</v>
      </c>
      <c r="N113" s="49">
        <f t="shared" si="22"/>
        <v>10.000000561062427</v>
      </c>
    </row>
    <row r="114" spans="1:14" ht="14.25" customHeight="1">
      <c r="A114" s="10" t="s">
        <v>159</v>
      </c>
      <c r="B114" s="10"/>
      <c r="C114" s="10"/>
      <c r="D114" s="17" t="s">
        <v>20</v>
      </c>
      <c r="E114" s="18">
        <f>'2 Technical Input'!G30</f>
        <v>0.3</v>
      </c>
      <c r="F114" s="10" t="s">
        <v>6</v>
      </c>
      <c r="M114" s="48">
        <v>24</v>
      </c>
      <c r="N114" s="49">
        <f t="shared" si="22"/>
        <v>10.000000266744001</v>
      </c>
    </row>
    <row r="115" spans="1:14" ht="14.25" customHeight="1">
      <c r="A115" s="10" t="s">
        <v>160</v>
      </c>
      <c r="B115" s="10"/>
      <c r="C115" s="10"/>
      <c r="D115" s="10"/>
      <c r="E115" s="18" t="str">
        <f>IF(OR('2 Technical Input'!G31=Translation!E86,'2 Technical Input'!G31=Translation!F86,'2 Technical Input'!G31=Translation!G86),"Yes","No")</f>
        <v>Yes</v>
      </c>
      <c r="F115" s="10"/>
    </row>
    <row r="116" spans="1:14" ht="14.25" customHeight="1">
      <c r="A116" s="10" t="s">
        <v>132</v>
      </c>
      <c r="B116" s="10"/>
      <c r="C116" s="10"/>
      <c r="D116" s="17" t="s">
        <v>133</v>
      </c>
      <c r="E116" s="18">
        <f>'2 Technical Input'!N17</f>
        <v>10</v>
      </c>
      <c r="F116" s="10" t="s">
        <v>12</v>
      </c>
    </row>
    <row r="117" spans="1:14" ht="14.25" customHeight="1"/>
    <row r="118" spans="1:14" ht="14.25" customHeight="1">
      <c r="A118" s="10" t="s">
        <v>161</v>
      </c>
      <c r="B118" s="31">
        <f>E113/E114</f>
        <v>0.2</v>
      </c>
      <c r="C118" s="24" t="s">
        <v>162</v>
      </c>
      <c r="D118" s="31"/>
    </row>
    <row r="119" spans="1:14" ht="14.25" customHeight="1">
      <c r="A119" s="10" t="s">
        <v>140</v>
      </c>
      <c r="B119" s="31">
        <f>IF(E94&gt;0,E94,K94)</f>
        <v>3.7</v>
      </c>
      <c r="C119" s="24" t="s">
        <v>163</v>
      </c>
    </row>
    <row r="120" spans="1:14" ht="14.25" customHeight="1"/>
    <row r="121" spans="1:14" ht="14.25" customHeight="1">
      <c r="B121" s="52" t="s">
        <v>131</v>
      </c>
      <c r="C121" s="52" t="s">
        <v>164</v>
      </c>
      <c r="D121" s="52" t="s">
        <v>165</v>
      </c>
      <c r="E121" s="52" t="s">
        <v>166</v>
      </c>
      <c r="F121" s="52" t="s">
        <v>167</v>
      </c>
      <c r="G121" s="52" t="str">
        <f>K141</f>
        <v>Accumulated cooling load in kWh</v>
      </c>
    </row>
    <row r="122" spans="1:14" ht="14.25" customHeight="1">
      <c r="B122" s="48">
        <f t="shared" ref="B122:C122" si="23">M90</f>
        <v>0</v>
      </c>
      <c r="C122" s="53">
        <f t="shared" si="23"/>
        <v>25</v>
      </c>
      <c r="D122" s="54">
        <v>26.6</v>
      </c>
      <c r="E122" s="49">
        <f t="shared" ref="E122:E145" si="24">($C122-$C123)*$E$111*$B$119/(($B123-$B122)*3600)</f>
        <v>3.2348693112969102</v>
      </c>
      <c r="F122" s="49">
        <f t="shared" ref="F122:F146" si="25">$B$118*$E$112*(D122-$E$116)/1000</f>
        <v>0.15876240000000003</v>
      </c>
      <c r="G122" s="49">
        <v>0</v>
      </c>
    </row>
    <row r="123" spans="1:14" ht="14.25" customHeight="1">
      <c r="B123" s="48">
        <f t="shared" ref="B123:C123" si="26">M91</f>
        <v>1</v>
      </c>
      <c r="C123" s="53">
        <f t="shared" si="26"/>
        <v>17.13139897252103</v>
      </c>
      <c r="D123" s="54">
        <v>27.3</v>
      </c>
      <c r="E123" s="49">
        <f t="shared" si="24"/>
        <v>1.5379429121881738</v>
      </c>
      <c r="F123" s="49">
        <f t="shared" si="25"/>
        <v>0.1654572</v>
      </c>
      <c r="G123" s="49">
        <f>(E122+F122)*(B123-B122)</f>
        <v>3.3936317112969103</v>
      </c>
    </row>
    <row r="124" spans="1:14" ht="14.25" customHeight="1">
      <c r="B124" s="48">
        <f t="shared" ref="B124:C124" si="27">M92</f>
        <v>2</v>
      </c>
      <c r="C124" s="53">
        <f t="shared" si="27"/>
        <v>13.390456753684932</v>
      </c>
      <c r="D124" s="54">
        <v>28</v>
      </c>
      <c r="E124" s="49">
        <f t="shared" si="24"/>
        <v>0.73117896691831596</v>
      </c>
      <c r="F124" s="49">
        <f t="shared" si="25"/>
        <v>0.172152</v>
      </c>
      <c r="G124" s="49">
        <f t="shared" ref="G124:G146" si="28">G123+(E123+F123)*(B124-B123)</f>
        <v>5.097031823485084</v>
      </c>
    </row>
    <row r="125" spans="1:14" ht="14.25" customHeight="1">
      <c r="B125" s="48">
        <f t="shared" ref="B125:C125" si="29">M93</f>
        <v>3</v>
      </c>
      <c r="C125" s="53">
        <f t="shared" si="29"/>
        <v>11.61191332064038</v>
      </c>
      <c r="D125" s="54">
        <v>28.6</v>
      </c>
      <c r="E125" s="49">
        <f t="shared" si="24"/>
        <v>0.34762192889401689</v>
      </c>
      <c r="F125" s="49">
        <f t="shared" si="25"/>
        <v>0.17789040000000003</v>
      </c>
      <c r="G125" s="49">
        <f t="shared" si="28"/>
        <v>6.0003627904033996</v>
      </c>
    </row>
    <row r="126" spans="1:14" ht="14.25" customHeight="1">
      <c r="B126" s="48">
        <f t="shared" ref="B126:C126" si="30">M94</f>
        <v>4</v>
      </c>
      <c r="C126" s="53">
        <f t="shared" si="30"/>
        <v>10.766346466573852</v>
      </c>
      <c r="D126" s="54">
        <v>27.7</v>
      </c>
      <c r="E126" s="49">
        <f t="shared" si="24"/>
        <v>0.16526871110270563</v>
      </c>
      <c r="F126" s="49">
        <f t="shared" si="25"/>
        <v>0.16928279999999998</v>
      </c>
      <c r="G126" s="49">
        <f t="shared" si="28"/>
        <v>6.5258751192974165</v>
      </c>
    </row>
    <row r="127" spans="1:14" ht="14.25" customHeight="1">
      <c r="B127" s="48">
        <f t="shared" ref="B127:C127" si="31">M95</f>
        <v>5</v>
      </c>
      <c r="C127" s="53">
        <f t="shared" si="31"/>
        <v>10.364341493621325</v>
      </c>
      <c r="D127" s="54">
        <v>26.8</v>
      </c>
      <c r="E127" s="49">
        <f t="shared" si="24"/>
        <v>7.8573141103179742E-2</v>
      </c>
      <c r="F127" s="49">
        <f t="shared" si="25"/>
        <v>0.16067520000000002</v>
      </c>
      <c r="G127" s="49">
        <f t="shared" si="28"/>
        <v>6.8604266304001218</v>
      </c>
    </row>
    <row r="128" spans="1:14" ht="14.25" customHeight="1">
      <c r="B128" s="48">
        <f t="shared" ref="B128:C128" si="32">M96</f>
        <v>6</v>
      </c>
      <c r="C128" s="53">
        <f t="shared" si="32"/>
        <v>10.17321763688386</v>
      </c>
      <c r="D128" s="54">
        <v>25.8</v>
      </c>
      <c r="E128" s="49">
        <f t="shared" si="24"/>
        <v>3.7355761182064975E-2</v>
      </c>
      <c r="F128" s="49">
        <f t="shared" si="25"/>
        <v>0.1511112</v>
      </c>
      <c r="G128" s="49">
        <f t="shared" si="28"/>
        <v>7.0996749715033012</v>
      </c>
    </row>
    <row r="129" spans="2:11" ht="14.25" customHeight="1">
      <c r="B129" s="48">
        <f t="shared" ref="B129:C129" si="33">M97</f>
        <v>7</v>
      </c>
      <c r="C129" s="53">
        <f t="shared" si="33"/>
        <v>10.082352271846405</v>
      </c>
      <c r="D129" s="54">
        <v>24.3</v>
      </c>
      <c r="E129" s="49">
        <f t="shared" si="24"/>
        <v>1.7759922460767876E-2</v>
      </c>
      <c r="F129" s="49">
        <f t="shared" si="25"/>
        <v>0.13676520000000003</v>
      </c>
      <c r="G129" s="49">
        <f t="shared" si="28"/>
        <v>7.2881419326853658</v>
      </c>
    </row>
    <row r="130" spans="2:11" ht="14.25" customHeight="1">
      <c r="B130" s="48">
        <f t="shared" ref="B130:C130" si="34">M98</f>
        <v>8</v>
      </c>
      <c r="C130" s="53">
        <f t="shared" si="34"/>
        <v>10.039152460455348</v>
      </c>
      <c r="D130" s="54">
        <v>23</v>
      </c>
      <c r="E130" s="49">
        <f t="shared" si="24"/>
        <v>8.4435395192512929E-3</v>
      </c>
      <c r="F130" s="49">
        <f t="shared" si="25"/>
        <v>0.124332</v>
      </c>
      <c r="G130" s="49">
        <f t="shared" si="28"/>
        <v>7.442667055146134</v>
      </c>
    </row>
    <row r="131" spans="2:11" ht="14.25" customHeight="1">
      <c r="B131" s="48">
        <f t="shared" ref="B131:C131" si="35">M99</f>
        <v>9</v>
      </c>
      <c r="C131" s="53">
        <f t="shared" si="35"/>
        <v>10.018614121084196</v>
      </c>
      <c r="D131" s="54">
        <v>21.8</v>
      </c>
      <c r="E131" s="49">
        <f>($C131-$C132)*$E$111*$B$119/(($B132-$B131)*3600)</f>
        <v>4.0142832701357788E-3</v>
      </c>
      <c r="F131" s="49">
        <f t="shared" si="25"/>
        <v>0.11285520000000002</v>
      </c>
      <c r="G131" s="49">
        <f t="shared" si="28"/>
        <v>7.5754425946653852</v>
      </c>
    </row>
    <row r="132" spans="2:11" ht="14.25" customHeight="1">
      <c r="B132" s="48">
        <f t="shared" ref="B132:C132" si="36">M100</f>
        <v>10</v>
      </c>
      <c r="C132" s="53">
        <f t="shared" si="36"/>
        <v>10.008849648264947</v>
      </c>
      <c r="D132" s="54">
        <v>21.3</v>
      </c>
      <c r="E132" s="49">
        <f t="shared" si="24"/>
        <v>1.9084970392034607E-3</v>
      </c>
      <c r="F132" s="49">
        <f t="shared" si="25"/>
        <v>0.10807320000000001</v>
      </c>
      <c r="G132" s="49">
        <f t="shared" si="28"/>
        <v>7.6923120779355205</v>
      </c>
    </row>
    <row r="133" spans="2:11" ht="14.25" customHeight="1">
      <c r="B133" s="48">
        <f t="shared" ref="B133:C133" si="37">M101</f>
        <v>11</v>
      </c>
      <c r="C133" s="53">
        <f t="shared" si="37"/>
        <v>10.004207358169587</v>
      </c>
      <c r="D133" s="54">
        <v>20.9</v>
      </c>
      <c r="E133" s="49">
        <f t="shared" si="24"/>
        <v>9.0735025496204715E-4</v>
      </c>
      <c r="F133" s="49">
        <f t="shared" si="25"/>
        <v>0.1042476</v>
      </c>
      <c r="G133" s="49">
        <f t="shared" si="28"/>
        <v>7.8022937749747241</v>
      </c>
    </row>
    <row r="134" spans="2:11" ht="14.25" customHeight="1">
      <c r="B134" s="48">
        <f t="shared" ref="B134:C134" si="38">M102</f>
        <v>12</v>
      </c>
      <c r="C134" s="53">
        <f t="shared" si="38"/>
        <v>10.002000289981842</v>
      </c>
      <c r="D134" s="54">
        <v>20.399999999999999</v>
      </c>
      <c r="E134" s="49">
        <f t="shared" si="24"/>
        <v>4.3137844506340172E-4</v>
      </c>
      <c r="F134" s="49">
        <f t="shared" si="25"/>
        <v>9.9465599999999987E-2</v>
      </c>
      <c r="G134" s="49">
        <f t="shared" si="28"/>
        <v>7.9074487252296866</v>
      </c>
    </row>
    <row r="135" spans="2:11" ht="14.25" customHeight="1">
      <c r="B135" s="48">
        <f t="shared" ref="B135:C135" si="39">M103</f>
        <v>13</v>
      </c>
      <c r="C135" s="53">
        <f t="shared" si="39"/>
        <v>10.000950991061417</v>
      </c>
      <c r="D135" s="54">
        <v>20.100000000000001</v>
      </c>
      <c r="E135" s="49">
        <f t="shared" si="24"/>
        <v>2.0508878665975852E-4</v>
      </c>
      <c r="F135" s="49">
        <f t="shared" si="25"/>
        <v>9.6596400000000013E-2</v>
      </c>
      <c r="G135" s="49">
        <f t="shared" si="28"/>
        <v>8.0073457036747495</v>
      </c>
    </row>
    <row r="136" spans="2:11" ht="14.25" customHeight="1">
      <c r="B136" s="48">
        <f t="shared" ref="B136:C136" si="40">M104</f>
        <v>14</v>
      </c>
      <c r="C136" s="53">
        <f t="shared" si="40"/>
        <v>10.000452126445218</v>
      </c>
      <c r="D136" s="54">
        <v>19.7</v>
      </c>
      <c r="E136" s="49">
        <f t="shared" si="24"/>
        <v>9.7504664163849955E-5</v>
      </c>
      <c r="F136" s="49">
        <f t="shared" si="25"/>
        <v>9.27708E-2</v>
      </c>
      <c r="G136" s="49">
        <f t="shared" si="28"/>
        <v>8.1041471924614097</v>
      </c>
    </row>
    <row r="137" spans="2:11" ht="14.25" customHeight="1">
      <c r="B137" s="48">
        <f t="shared" ref="B137:C137" si="41">M105</f>
        <v>15</v>
      </c>
      <c r="C137" s="53">
        <f t="shared" si="41"/>
        <v>10.000214952937792</v>
      </c>
      <c r="D137" s="54">
        <v>19.3</v>
      </c>
      <c r="E137" s="49">
        <f t="shared" si="24"/>
        <v>4.6356310789145519E-5</v>
      </c>
      <c r="F137" s="49">
        <f t="shared" si="25"/>
        <v>8.8945200000000016E-2</v>
      </c>
      <c r="G137" s="49">
        <f t="shared" si="28"/>
        <v>8.1970154971255731</v>
      </c>
    </row>
    <row r="138" spans="2:11" ht="14.25" customHeight="1">
      <c r="B138" s="48">
        <f t="shared" ref="B138:C138" si="42">M106</f>
        <v>16</v>
      </c>
      <c r="C138" s="53">
        <f t="shared" si="42"/>
        <v>10.000102194343981</v>
      </c>
      <c r="D138" s="54">
        <v>19.100000000000001</v>
      </c>
      <c r="E138" s="49">
        <f t="shared" si="24"/>
        <v>2.203902314250112E-5</v>
      </c>
      <c r="F138" s="49">
        <f t="shared" si="25"/>
        <v>8.703240000000001E-2</v>
      </c>
      <c r="G138" s="49">
        <f t="shared" si="28"/>
        <v>8.2860070534363626</v>
      </c>
    </row>
    <row r="139" spans="2:11" ht="14.25" customHeight="1">
      <c r="B139" s="48">
        <f t="shared" ref="B139:C139" si="43">M107</f>
        <v>17</v>
      </c>
      <c r="C139" s="53">
        <f t="shared" si="43"/>
        <v>10.00004858590931</v>
      </c>
      <c r="D139" s="54">
        <v>18.8</v>
      </c>
      <c r="E139" s="49">
        <f t="shared" si="24"/>
        <v>1.047793779933828E-5</v>
      </c>
      <c r="F139" s="49">
        <f t="shared" si="25"/>
        <v>8.4163200000000007E-2</v>
      </c>
      <c r="G139" s="49">
        <f t="shared" si="28"/>
        <v>8.3730614924595059</v>
      </c>
      <c r="K139" s="24" t="s">
        <v>153</v>
      </c>
    </row>
    <row r="140" spans="2:11" ht="14.25" customHeight="1">
      <c r="B140" s="48">
        <f t="shared" ref="B140:C140" si="44">M108</f>
        <v>18</v>
      </c>
      <c r="C140" s="53">
        <f t="shared" si="44"/>
        <v>10.000023099033582</v>
      </c>
      <c r="D140" s="54">
        <v>18.600000000000001</v>
      </c>
      <c r="E140" s="49">
        <f t="shared" si="24"/>
        <v>4.9814903232143275E-6</v>
      </c>
      <c r="F140" s="49">
        <f t="shared" si="25"/>
        <v>8.2250400000000015E-2</v>
      </c>
      <c r="G140" s="49">
        <f t="shared" si="28"/>
        <v>8.4572351703973059</v>
      </c>
      <c r="K140" s="24" t="str">
        <f>Translation!B116</f>
        <v>Time in h</v>
      </c>
    </row>
    <row r="141" spans="2:11" ht="14.25" customHeight="1">
      <c r="B141" s="48">
        <f t="shared" ref="B141:C141" si="45">M109</f>
        <v>19</v>
      </c>
      <c r="C141" s="53">
        <f t="shared" si="45"/>
        <v>10.000010981894958</v>
      </c>
      <c r="D141" s="54">
        <v>19.5</v>
      </c>
      <c r="E141" s="49">
        <f t="shared" si="24"/>
        <v>2.3683329984160019E-6</v>
      </c>
      <c r="F141" s="49">
        <f t="shared" si="25"/>
        <v>9.0858000000000008E-2</v>
      </c>
      <c r="G141" s="49">
        <f t="shared" si="28"/>
        <v>8.5394905518876296</v>
      </c>
      <c r="K141" s="24" t="str">
        <f>Translation!B118</f>
        <v>Accumulated cooling load in kWh</v>
      </c>
    </row>
    <row r="142" spans="2:11" ht="14.25" customHeight="1">
      <c r="B142" s="48">
        <f t="shared" ref="B142:C142" si="46">M110</f>
        <v>20</v>
      </c>
      <c r="C142" s="53">
        <f t="shared" si="46"/>
        <v>10.000005221084962</v>
      </c>
      <c r="D142" s="54">
        <v>21</v>
      </c>
      <c r="E142" s="49">
        <f t="shared" si="24"/>
        <v>1.1259685009553284E-6</v>
      </c>
      <c r="F142" s="49">
        <f t="shared" si="25"/>
        <v>0.10520400000000001</v>
      </c>
      <c r="G142" s="49">
        <f t="shared" si="28"/>
        <v>8.6303509202206286</v>
      </c>
      <c r="K142" s="24" t="str">
        <f>Translation!B119</f>
        <v>Cooling load</v>
      </c>
    </row>
    <row r="143" spans="2:11" ht="14.25" customHeight="1">
      <c r="B143" s="48">
        <f t="shared" ref="B143:C143" si="47">M111</f>
        <v>21</v>
      </c>
      <c r="C143" s="53">
        <f t="shared" si="47"/>
        <v>10.000002482242662</v>
      </c>
      <c r="D143" s="54">
        <v>22.5</v>
      </c>
      <c r="E143" s="49">
        <f t="shared" si="24"/>
        <v>5.3531537389517327E-7</v>
      </c>
      <c r="F143" s="49">
        <f t="shared" si="25"/>
        <v>0.11955</v>
      </c>
      <c r="G143" s="49">
        <f t="shared" si="28"/>
        <v>8.7355560461891297</v>
      </c>
    </row>
    <row r="144" spans="2:11" ht="14.25" customHeight="1">
      <c r="B144" s="48">
        <f t="shared" ref="B144:C144" si="48">M112</f>
        <v>22</v>
      </c>
      <c r="C144" s="53">
        <f t="shared" si="48"/>
        <v>10.000001180124185</v>
      </c>
      <c r="D144" s="54">
        <v>24</v>
      </c>
      <c r="E144" s="49">
        <f t="shared" si="24"/>
        <v>2.5450316730118375E-7</v>
      </c>
      <c r="F144" s="49">
        <f t="shared" si="25"/>
        <v>0.13389600000000002</v>
      </c>
      <c r="G144" s="49">
        <f t="shared" si="28"/>
        <v>8.8551065815045042</v>
      </c>
    </row>
    <row r="145" spans="2:7" ht="14.25" customHeight="1">
      <c r="B145" s="48">
        <f t="shared" ref="B145:C145" si="49">M113</f>
        <v>23</v>
      </c>
      <c r="C145" s="53">
        <f t="shared" si="49"/>
        <v>10.000000561062427</v>
      </c>
      <c r="D145" s="54">
        <v>25.3</v>
      </c>
      <c r="E145" s="49">
        <f t="shared" si="24"/>
        <v>1.2099757498162945E-7</v>
      </c>
      <c r="F145" s="49">
        <f t="shared" si="25"/>
        <v>0.14632920000000002</v>
      </c>
      <c r="G145" s="49">
        <f t="shared" si="28"/>
        <v>8.9890028360076712</v>
      </c>
    </row>
    <row r="146" spans="2:7" ht="14.25" customHeight="1">
      <c r="B146" s="48">
        <f t="shared" ref="B146:C146" si="50">M114</f>
        <v>24</v>
      </c>
      <c r="C146" s="53">
        <f t="shared" si="50"/>
        <v>10.000000266744001</v>
      </c>
      <c r="D146" s="54">
        <v>26.6</v>
      </c>
      <c r="E146" s="49"/>
      <c r="F146" s="49">
        <f t="shared" si="25"/>
        <v>0.15876240000000003</v>
      </c>
      <c r="G146" s="49">
        <f t="shared" si="28"/>
        <v>9.1353321570052461</v>
      </c>
    </row>
    <row r="147" spans="2:7" ht="14.25" customHeight="1"/>
    <row r="148" spans="2:7" ht="14.25" customHeight="1"/>
    <row r="149" spans="2:7" ht="14.25" customHeight="1"/>
    <row r="150" spans="2:7" ht="14.25" customHeight="1"/>
    <row r="151" spans="2:7" ht="14.25" customHeight="1"/>
    <row r="152" spans="2:7" ht="14.25" customHeight="1"/>
    <row r="153" spans="2:7" ht="14.25" customHeight="1"/>
    <row r="154" spans="2:7" ht="14.25" customHeight="1"/>
    <row r="155" spans="2:7" ht="14.25" customHeight="1"/>
    <row r="156" spans="2:7" ht="14.25" customHeight="1"/>
    <row r="157" spans="2:7" ht="14.25" customHeight="1"/>
    <row r="158" spans="2:7" ht="14.25" customHeight="1"/>
    <row r="159" spans="2:7" ht="14.25" customHeight="1"/>
    <row r="160" spans="2:7"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spans="2:13" ht="14.25" customHeight="1"/>
    <row r="178" spans="2:13" ht="14.25" customHeight="1"/>
    <row r="179" spans="2:13" ht="14.25" customHeight="1"/>
    <row r="180" spans="2:13" ht="14.25" customHeight="1">
      <c r="B180" s="24">
        <v>5.17</v>
      </c>
      <c r="C180" s="24">
        <v>6.01</v>
      </c>
      <c r="D180" s="24">
        <v>6.19</v>
      </c>
      <c r="E180" s="24">
        <v>6.28</v>
      </c>
      <c r="F180" s="24">
        <v>6.02</v>
      </c>
      <c r="G180" s="24">
        <v>5.57</v>
      </c>
      <c r="H180" s="24">
        <v>5.14</v>
      </c>
      <c r="I180" s="24">
        <v>4.97</v>
      </c>
      <c r="J180" s="24">
        <v>5.3</v>
      </c>
      <c r="K180" s="24">
        <v>5.56</v>
      </c>
      <c r="L180" s="24">
        <v>5.53</v>
      </c>
      <c r="M180" s="24">
        <v>5.26</v>
      </c>
    </row>
    <row r="181" spans="2:13" ht="14.25" customHeight="1"/>
    <row r="182" spans="2:13" ht="14.25" customHeight="1"/>
    <row r="183" spans="2:13" ht="14.25" customHeight="1">
      <c r="B183" s="391">
        <v>5.17</v>
      </c>
      <c r="C183" s="391">
        <v>6.01</v>
      </c>
      <c r="D183" s="391">
        <v>6.19</v>
      </c>
      <c r="E183" s="391">
        <v>6.28</v>
      </c>
      <c r="F183" s="391">
        <v>6.02</v>
      </c>
      <c r="G183" s="391">
        <v>5.57</v>
      </c>
      <c r="H183" s="391">
        <v>5.14</v>
      </c>
      <c r="I183" s="391">
        <v>4.97</v>
      </c>
      <c r="J183" s="391">
        <v>5.3</v>
      </c>
      <c r="K183" s="391">
        <v>5.56</v>
      </c>
      <c r="L183" s="391">
        <v>5.53</v>
      </c>
      <c r="M183" s="391">
        <v>5.26</v>
      </c>
    </row>
    <row r="184" spans="2:13" ht="14.25" customHeight="1">
      <c r="B184" s="392"/>
      <c r="C184" s="392"/>
      <c r="D184" s="392"/>
      <c r="E184" s="392"/>
      <c r="F184" s="392"/>
      <c r="G184" s="392"/>
      <c r="H184" s="392"/>
      <c r="I184" s="392"/>
      <c r="J184" s="392"/>
      <c r="K184" s="392"/>
      <c r="L184" s="392"/>
      <c r="M184" s="392"/>
    </row>
    <row r="185" spans="2:13" ht="14.25" customHeight="1"/>
    <row r="186" spans="2:13" ht="14.25" customHeight="1"/>
    <row r="187" spans="2:13" ht="14.25" customHeight="1"/>
    <row r="188" spans="2:13" ht="14.25" customHeight="1"/>
    <row r="189" spans="2:13" ht="14.25" customHeight="1"/>
    <row r="190" spans="2:13" ht="14.25" customHeight="1"/>
    <row r="191" spans="2:13" ht="14.25" customHeight="1"/>
    <row r="192" spans="2:13"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sheetData>
  <mergeCells count="14">
    <mergeCell ref="L183:L184"/>
    <mergeCell ref="O13:P13"/>
    <mergeCell ref="O16:P16"/>
    <mergeCell ref="B183:B184"/>
    <mergeCell ref="C183:C184"/>
    <mergeCell ref="D183:D184"/>
    <mergeCell ref="E183:E184"/>
    <mergeCell ref="F183:F184"/>
    <mergeCell ref="M183:M184"/>
    <mergeCell ref="G183:G184"/>
    <mergeCell ref="H183:H184"/>
    <mergeCell ref="I183:I184"/>
    <mergeCell ref="J183:J184"/>
    <mergeCell ref="K183:K184"/>
  </mergeCells>
  <pageMargins left="0.7" right="0.7" top="0.78740157499999996" bottom="0.78740157499999996" header="0" footer="0"/>
  <pageSetup paperSize="9"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O 8 J A A B Q S w M E F A A C A A g A G 0 7 9 W B b 3 p s O m A A A A 9 w A A A B I A H A B D b 2 5 m a W c v U G F j a 2 F n Z S 5 4 b W w g o h g A K K A U A A A A A A A A A A A A A A A A A A A A A A A A A A A A h Y 9 B C s I w F E S v U r J v k k Y R K b 8 p 6 M K N B U E Q t y H G N t j + S p P a 3 s 2 F R / I K V r T q z u W 8 e Y u Z + / U G a V + V w c U 0 z t a Y k I h y E h j U 9 c F i n p D W H 8 M 5 S S V s l D 6 p 3 A S D j C 7 u 3 S E h h f f n m L G u 6 2 g 3 o X W T M 8 F 5 x P b Z e q s L U y n y k e 1 / O b T o v E J t i I T d a 4 w U N B I z K q Z c U A 5 s p J B Z / B p i G P x s f y A s 2 9 K 3 j Z E G w 9 U C 2 B i B v U / I B 1 B L A w Q U A A I A C A A b T v 1 Y 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G 0 7 9 W M 0 U Z 9 v n B g A A 9 j Q A A B M A H A B G b 3 J t d W x h c y 9 T Z W N 0 a W 9 u M S 5 t I K I Y A C i g F A A A A A A A A A A A A A A A A A A A A A A A A A A A A O 1 a b U / b S B D + j s R / W K V f Q A p c X g z l 7 s S H N I Q 2 u g A R C f S q U l W L s w m + 2 L v R 7 r q B Q / 3 v N 3 5 J 7 N i e v N U K s n T 9 A H R n d m d m 9 5 n x M 2 s r Z m p L c N I L f l f / 3 N / b 3 1 N P V L I B + U C d R y H I O b G Z 3 t 8 j 8 K 8 n X G k y G G k 9 m 8 w + / i z k G D T G B 5 e W z Y 6 b g m v G t T o o N f 9 4 u F N M q g f z q a r k P 9 O H C 2 G 6 j i d 7 a A p 7 Q K Q Q z k O T 2 q Z r U 9 + 6 e m L M E 4 Z D Q p I j I t k P S 4 E X A 6 a s E S d X V J p P p F a p G c f P t n o u H Z Y J d 2 2 7 T L R 0 2 W E 5 8 C / w + H v P W w 6 8 D N x 9 / d r W z D k v B c J S + S + L D 8 5 L v k 7 p 2 8 + v F 1 T T b + H 8 d 6 W u F I 7 Q Y P Y T o w M I o Q T L 9 O k j h B d K w v G D u K k y + R p K G 7 b d M 6 l N p T r 3 / P p 2 O F + 4 + U T 5 C N b t v 0 x Y t G h f U q 6 G Q j q w L 6 7 D P a E 6 y P C i / P p a u r C o w z S T J Y g Z 9 I h m z / p n m b y W g r m 1 2 T h 3 n U c m Y 5 J 6 a k Z 4 s h M m i U N s i z O a X r X t T K i p 4 R i U a + u M t e + 4 p R c m / T z c 3 7 N 4 Z r y L q N I Q h M V U s Y A V O o 1 i K 5 T n B 6 8 F g 7 t B W L d 1 S z 4 0 + v 3 W 7 R d y d 9 3 u k + v W 5 x Q u O t Z R G 3 b 2 u t n I A M V M e N W s V q t L 5 W f Z 8 g a 5 v 4 U f j Y 9 X S 6 Q f m Y 2 v 3 b n s Z k + d s i w Y R 7 P I L R u 6 8 t E C z A w y F B s A T C Y 9 1 W V 2 t s 4 K S 4 w Y t 8 x C J U X o M 5 Y T o T i 3 l F g w t 5 u M 6 G l J p 7 P z p P w l q 9 4 u D q e L b T B u J N X 7 l g c a R P s U L e b v k R l n y f V b p n g U V A 6 U X + b H I 2 R e t Y K a i j I 0 O Q e J v V p H x l P B X 8 N O q 2 3 y B A T S F A I y s U i Z E n m N 5 E q k k F e 2 J E 3 u J l + u g a K k Q U M 1 G w n 5 k g R B m / + A v Q d B g m T M 5 P F a O p 8 T s J I h / B A y a 8 L 3 K j J l K Z H 5 X k O g / n t y t S 8 R b s M 1 1 k W u 4 A r 2 O 6 D b R c J u z G 8 M v T G V F f j d A G J p w x 7 C w o o S P 5 a 1 D 0 A A 1 R 0 V a + 9 9 l 9 F t 9 6 W 5 V Y y 4 s d 2 U i 2 o l 4 7 l 0 W q n Q j D S t 1 o 2 s 4 W 0 J 1 4 U Q s l A t i O 8 w g g R f l h c O Y o Z 2 R b I Y s 8 k A z J K p p Z + I c e I 4 x A T q 4 v M X Y n E V 7 u W q z h d h Y o v D R m q V L v U Y U m T G d 2 A V M V t c d G 1 W l o h V u D p u + A A w U C H P 5 M w 4 O V z J 1 x I c a 3 2 y 5 p N a U j M q n q n w V z W K O J Z c r W 7 P V 3 j 2 f 2 T r B K t R T Z T 1 L 4 N g A M 0 W T 5 o M t n i F U r A 3 N q P D V Z p h Z K n d 7 d p U a W i i W M h 9 V 6 0 T c P C 1 1 N c s K x H r L l B p m T u N l J e 5 P K 8 S k z C 4 m z L j z 0 z l i K Q D G / 4 v y A h Y a l Y r F C l I + i N L o y 8 0 t Z P I u m B c W d q j v G 2 u T 4 1 j z / i y M p J C b t C 0 k Y N G t 3 t 7 8 z c c r O D 2 C w D T t F 0 4 W m I K 2 w 6 v b s W Q K O E w M g m X o H w A 1 d N m H C K H 5 3 m 6 k I S 2 l j e k W S Q 8 W V l S V D u v 9 j A c P 0 H G T 7 d I z H e l o T V y o Q k g A B c y g T 9 K R U r R t P t B 6 p R S y Z o K M 6 e c R T 3 Y T f Y m e D 9 G A e b j L c d S K u A M i Q y c X 7 U p O A 4 6 Y l i O I u h b w g B i y 6 y J y k v h 8 o G P l E I 9 M G J u I 4 + M m E Z e A E w Z f c M r j W t B T O b t d M b z w O e w q J Q O B g A 8 l n m D v a T W r u K d G 1 T C d s Q 3 C w S 5 y G s E c e 1 Y m 5 A P 4 J I m d 0 R T 4 n R i j o L M i 2 i g 5 5 u h a F V J S 6 i / z 1 Y / W 1 B f E 3 U e n y 4 S 3 j x / E a Q F r U F e 1 1 y R I e R 6 a 9 l T b r 1 O d 3 F 4 8 + f a M g w s D q e u S 9 d t W t + S Q c b G k W j T n W Y 4 j s R b Q + K t Y Q e L x F t D 4 q 2 l L z F C A R J w D Q m 4 h g R c Q w K u I Q H X K x g 0 k Y j r K J b n I a e / Y 0 B O u Y 4 E X U e C r i N B 1 5 G g 6 0 j Q B n L K B s Z S D e S Y D S y B k Y A N J G A D C d h A A j a Q g A 0 k 4 J O F g N c s / D e u n r i 6 S K U / 8 B g p / o E w L 4 o R N / W 2 f d T s u 4 9 e + / p j p 5 U 8 / 0 D a b v V I / 6 b f 6 K w Q k 0 7 7 s t V v X 6 W W 6 d 4 T J 5 U D M J h t F A S Z 1 m b j q J n m z U 0 H V i T x 1 w t J W b b J m T T T 7 o I Q N 4 4 8 q W b 6 4 f T b V u + u 0 9 8 i n y D 6 A u V S 9 x 7 J o + 5 9 X j k 0 M / G G 7 W D L F J b / M p s 0 2 7 3 k w U d C x 7 W 1 d d S z y J Q O 0 z d t k Z 6 y + M h m q O K l q 1 1 J l c v J 5 d 2 R d 3 3 f s + z x i k Z g y 9 c V a 7 I 6 9 G J w q w 9 H 1 k y E 8 P K + Q M k Q e I w k x O z 6 N Z + k i J v a U d 8 a H I f / T W n 6 I 6 i u m I J A 0 S n P A O o n 7 8 o a k W 3 7 f t d 3 f S J k o Z j H 3 G k M I z N 5 b j B Z N P i 2 F G Q 8 a t 7 U 2 G / j 0 f H Y y a 4 T e G + A N U T / N 7 v b v S 6 5 p x N A X p F y J / A Y S Z x A m F f W x E 3 t J m U 6 F 9 1 W U F o t U w p e 9 l 7 w + d s F e k O Y Q O p A A w K Z S m W C N z k j c W 7 0 E y x 4 w A V n h 0 n k / M I d 4 q 9 f U L 8 r f Y b A J N G U j w v 2 k i 5 y H H s 9 F w s t t y v E D L s b v D L b 7 K u Z z e 4 S N 7 x Q z o t 2 r g L b f 1 B L A Q I t A B Q A A g A I A B t O / V g W 9 6 b D p g A A A P c A A A A S A A A A A A A A A A A A A A A A A A A A A A B D b 2 5 m a W c v U G F j a 2 F n Z S 5 4 b W x Q S w E C L Q A U A A I A C A A b T v 1 Y D 8 r p q 6 Q A A A D p A A A A E w A A A A A A A A A A A A A A A A D y A A A A W 0 N v b n R l b n R f V H l w Z X N d L n h t b F B L A Q I t A B Q A A g A I A B t O / V j N F G f b 5 w Y A A P Y 0 A A A T A A A A A A A A A A A A A A A A A O M B A A B G b 3 J t d W x h c y 9 T Z W N 0 a W 9 u M S 5 t U E s F B g A A A A A D A A M A w g A A A B c J 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k n 2 A A A A A A A A J / Y 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J h b W J v b z w v S X R l b V B h d G g + P C 9 J d G V t T G 9 j Y X R p b 2 4 + P F N 0 Y W J s Z U V u d H J p Z X M + P E V u d H J 5 I F R 5 c G U 9 I k l z U H J p d m F 0 Z S I g V m F s d W U 9 I m w w I i A v P j x F b n R y e S B U e X B l P S J R d W V y e U l E I i B W Y W x 1 Z T 0 i c z E z Y T d h Y z c w L W Z i N T g t N D Y 3 M S 1 h Y m Z k L T A 1 Z T Z i Y W J l Z D c 5 O S 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R m l s b G V k Q 2 9 t c G x l d G V S Z X N 1 b H R U b 1 d v c m t z a G V l d C I g V m F s d W U 9 I m w w I i A v P j x F b n R y e S B U e X B l P S J B Z G R l Z F R v R G F 0 Y U 1 v Z G V s I i B W Y W x 1 Z T 0 i b D E i I C 8 + P E V u d H J 5 I F R 5 c G U 9 I k Z p b G x D b 3 V u d C I g V m F s d W U 9 I m w x O C I g L z 4 8 R W 5 0 c n k g V H l w Z T 0 i R m l s b E V y c m 9 y Q 2 9 k Z S I g V m F s d W U 9 I n N V b m t u b 3 d u I i A v P j x F b n R y e S B U e X B l P S J G a W x s R X J y b 3 J D b 3 V u d C I g V m F s d W U 9 I m w w I i A v P j x F b n R y e S B U e X B l P S J G a W x s T G F z d F V w Z G F 0 Z W Q i I F Z h b H V l P S J k M j A y N C 0 w N y 0 y O V Q w O D o 0 O D o 1 N C 4 0 M T I x O D U 5 W i I g L z 4 8 R W 5 0 c n k g V H l w Z T 0 i R m l s b E N v b H V t b l R 5 c G V z I i B W Y W x 1 Z T 0 i c 0 J n V U d C Z 1 V H I i A v P j x F b n R y e S B U e X B l P S J G a W x s Q 2 9 s d W 1 u T m F t Z X M i I F Z h b H V l P S J z W y Z x d W 9 0 O 0 R p Y W 1 l d G V y J n F 1 b 3 Q 7 L C Z x d W 9 0 O 0 N v b H V t b j I m c X V v d D s s J n F 1 b 3 Q 7 Q 2 9 s d W 1 u M y Z x d W 9 0 O y w m c X V v d D t C Y W 1 i b 2 8 g c G V y I G 0 g b G l u Z W F y J n F 1 b 3 Q 7 L C Z x d W 9 0 O 0 l t c G F j d C B y Z X N 1 b H Q m c X V v d D s s J n F 1 b 3 Q 7 V W 5 p d C Z x d W 9 0 O 1 0 i I C 8 + P E V u d H J 5 I F R 5 c G U 9 I k Z p b G x T d G F 0 d X M i I F Z h b H V l P S J z Q 2 9 t c G x l d G U i I C 8 + P E V u d H J 5 I F R 5 c G U 9 I l J l b G F 0 a W 9 u c 2 h p c E l u Z m 9 D b 2 5 0 Y W l u Z X I i I F Z h b H V l P S J z e y Z x d W 9 0 O 2 N v b H V t b k N v d W 5 0 J n F 1 b 3 Q 7 O j Y s J n F 1 b 3 Q 7 a 2 V 5 Q 2 9 s d W 1 u T m F t Z X M m c X V v d D s 6 W 1 0 s J n F 1 b 3 Q 7 c X V l c n l S Z W x h d G l v b n N o a X B z J n F 1 b 3 Q 7 O l t d L C Z x d W 9 0 O 2 N v b H V t b k l k Z W 5 0 a X R p Z X M m c X V v d D s 6 W y Z x d W 9 0 O 1 N l Y 3 R p b 2 4 x L 0 J h b W J v b y 9 D a G F u Z 2 V k I F R 5 c G U u e 0 R p Y W 1 l d G V y L D B 9 J n F 1 b 3 Q 7 L C Z x d W 9 0 O 1 N l Y 3 R p b 2 4 x L 0 J h b W J v b y 9 D a G F u Z 2 V k I F R 5 c G U u e 0 N v b H V t b j I s M X 0 m c X V v d D s s J n F 1 b 3 Q 7 U 2 V j d G l v b j E v Q m F t Y m 9 v L 0 N o Y W 5 n Z W Q g V H l w Z S 5 7 Q 2 9 s d W 1 u M y w y f S Z x d W 9 0 O y w m c X V v d D t T Z W N 0 a W 9 u M S 9 C Y W 1 i b 2 8 v Q 2 h h b m d l Z C B U e X B l L n t C Y W 1 i b 2 8 g c G V y I G 0 g b G l u Z W F y L D N 9 J n F 1 b 3 Q 7 L C Z x d W 9 0 O 1 N l Y 3 R p b 2 4 x L 0 J h b W J v b y 9 D a G F u Z 2 V k I F R 5 c G U u e 0 l t c G F j d C B y Z X N 1 b H Q s N H 0 m c X V v d D s s J n F 1 b 3 Q 7 U 2 V j d G l v b j E v Q m F t Y m 9 v L 0 N o Y W 5 n Z W Q g V H l w Z S 5 7 V W 5 p d C w 1 f S Z x d W 9 0 O 1 0 s J n F 1 b 3 Q 7 Q 2 9 s d W 1 u Q 2 9 1 b n Q m c X V v d D s 6 N i w m c X V v d D t L Z X l D b 2 x 1 b W 5 O Y W 1 l c y Z x d W 9 0 O z p b X S w m c X V v d D t D b 2 x 1 b W 5 J Z G V u d G l 0 a W V z J n F 1 b 3 Q 7 O l s m c X V v d D t T Z W N 0 a W 9 u M S 9 C Y W 1 i b 2 8 v Q 2 h h b m d l Z C B U e X B l L n t E a W F t Z X R l c i w w f S Z x d W 9 0 O y w m c X V v d D t T Z W N 0 a W 9 u M S 9 C Y W 1 i b 2 8 v Q 2 h h b m d l Z C B U e X B l L n t D b 2 x 1 b W 4 y L D F 9 J n F 1 b 3 Q 7 L C Z x d W 9 0 O 1 N l Y 3 R p b 2 4 x L 0 J h b W J v b y 9 D a G F u Z 2 V k I F R 5 c G U u e 0 N v b H V t b j M s M n 0 m c X V v d D s s J n F 1 b 3 Q 7 U 2 V j d G l v b j E v Q m F t Y m 9 v L 0 N o Y W 5 n Z W Q g V H l w Z S 5 7 Q m F t Y m 9 v I H B l c i B t I G x p b m V h c i w z f S Z x d W 9 0 O y w m c X V v d D t T Z W N 0 a W 9 u M S 9 C Y W 1 i b 2 8 v Q 2 h h b m d l Z C B U e X B l L n t J b X B h Y 3 Q g c m V z d W x 0 L D R 9 J n F 1 b 3 Q 7 L C Z x d W 9 0 O 1 N l Y 3 R p b 2 4 x L 0 J h b W J v b y 9 D a G F u Z 2 V k I F R 5 c G U u e 1 V u a X Q s N X 0 m c X V v d D t d L C Z x d W 9 0 O 1 J l b G F 0 a W 9 u c 2 h p c E l u Z m 8 m c X V v d D s 6 W 1 1 9 I i A v P j w v U 3 R h Y m x l R W 5 0 c m l l c z 4 8 L 0 l 0 Z W 0 + P E l 0 Z W 0 + P E l 0 Z W 1 M b 2 N h d G l v b j 4 8 S X R l b V R 5 c G U + R m 9 y b X V s Y T w v S X R l b V R 5 c G U + P E l 0 Z W 1 Q Y X R o P l N l Y 3 R p b 2 4 x L 0 J h b W J v b y 9 T b 3 V y Y 2 U 8 L 0 l 0 Z W 1 Q Y X R o P j w v S X R l b U x v Y 2 F 0 a W 9 u P j x T d G F i b G V F b n R y a W V z I C 8 + P C 9 J d G V t P j x J d G V t P j x J d G V t T G 9 j Y X R p b 2 4 + P E l 0 Z W 1 U e X B l P k Z v c m 1 1 b G E 8 L 0 l 0 Z W 1 U e X B l P j x J d G V t U G F 0 a D 5 T Z W N 0 a W 9 u M S 9 C Y W 1 i b 2 8 v Q m F t Y m 9 v X 1 N o Z W V 0 P C 9 J d G V t U G F 0 a D 4 8 L 0 l 0 Z W 1 M b 2 N h d G l v b j 4 8 U 3 R h Y m x l R W 5 0 c m l l c y A v P j w v S X R l b T 4 8 S X R l b T 4 8 S X R l b U x v Y 2 F 0 a W 9 u P j x J d G V t V H l w Z T 5 G b 3 J t d W x h P C 9 J d G V t V H l w Z T 4 8 S X R l b V B h d G g + U 2 V j d G l v b j E v Q m F t Y m 9 v L 1 B y b 2 1 v d G V k J T I w S G V h Z G V y c z w v S X R l b V B h d G g + P C 9 J d G V t T G 9 j Y X R p b 2 4 + P F N 0 Y W J s Z U V u d H J p Z X M g L z 4 8 L 0 l 0 Z W 0 + P E l 0 Z W 0 + P E l 0 Z W 1 M b 2 N h d G l v b j 4 8 S X R l b V R 5 c G U + R m 9 y b X V s Y T w v S X R l b V R 5 c G U + P E l 0 Z W 1 Q Y X R o P l N l Y 3 R p b 2 4 x L 0 J h b W J v b y 9 D a G F u Z 2 V k J T I w V H l w Z T w v S X R l b V B h d G g + P C 9 J d G V t T G 9 j Y X R p b 2 4 + P F N 0 Y W J s Z U V u d H J p Z X M g L z 4 8 L 0 l 0 Z W 0 + P E l 0 Z W 0 + P E l 0 Z W 1 M b 2 N h d G l v b j 4 8 S X R l b V R 5 c G U + R m 9 y b X V s Y T w v S X R l b V R 5 c G U + P E l 0 Z W 1 Q Y X R o P l N l Y 3 R p b 2 4 x L 0 J h d H R l c m l l c z w v S X R l b V B h d G g + P C 9 J d G V t T G 9 j Y X R p b 2 4 + P F N 0 Y W J s Z U V u d H J p Z X M + P E V u d H J 5 I F R 5 c G U 9 I k l z U H J p d m F 0 Z S I g V m F s d W U 9 I m w w I i A v P j x F b n R y e S B U e X B l P S J R d W V y e U l E I i B W Y W x 1 Z T 0 i c z g 3 M z Q 0 N z F k L W M z N j k t N D N m M S 1 i M D B k L T Y 2 Y z h i Z m E 2 N z E w Y y 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R m l s b G V k Q 2 9 t c G x l d G V S Z X N 1 b H R U b 1 d v c m t z a G V l d C I g V m F s d W U 9 I m w w I i A v P j x F b n R y e S B U e X B l P S J B Z G R l Z F R v R G F 0 Y U 1 v Z G V s I i B W Y W x 1 Z T 0 i b D E i I C 8 + P E V u d H J 5 I F R 5 c G U 9 I k Z p b G x D b 3 V u d C I g V m F s d W U 9 I m w y N i I g L z 4 8 R W 5 0 c n k g V H l w Z T 0 i R m l s b E V y c m 9 y Q 2 9 k Z S I g V m F s d W U 9 I n N V b m t u b 3 d u I i A v P j x F b n R y e S B U e X B l P S J G a W x s R X J y b 3 J D b 3 V u d C I g V m F s d W U 9 I m w w I i A v P j x F b n R y e S B U e X B l P S J G a W x s T G F z d F V w Z G F 0 Z W Q i I F Z h b H V l P S J k M j A y N C 0 w N y 0 y O V Q w O D o 0 O D o 1 N C 4 0 M T g x N j Y w W i I g L z 4 8 R W 5 0 c n k g V H l w Z T 0 i R m l s b E N v b H V t b l R 5 c G V z I i B W Y W x 1 Z T 0 i c 0 J n V U Z C U V V G Q l F V R k J R W T 0 i I C 8 + P E V u d H J 5 I F R 5 c G U 9 I k Z p b G x D b 2 x 1 b W 5 O Y W 1 l c y I g V m F s d W U 9 I n N b J n F 1 b 3 Q 7 U E V S I E J B V F R F U l k g V U 5 J V C B O R V c m c X V v d D s s J n F 1 b 3 Q 7 T G k t S W 9 u I E 5 D Q S Z x d W 9 0 O y w m c X V v d D t M a S 1 J b 2 4 g T k 1 D M T E x J n F 1 b 3 Q 7 L C Z x d W 9 0 O 0 x p L U l v b i B O T U M 4 M T E m c X V v d D s s J n F 1 b 3 Q 7 T E E g V l J M Q S B B R 0 0 m c X V v d D s s J n F 1 b 3 Q 7 T E E g V l J M Q S B H Z W w m c X V v d D s s J n F 1 b 3 Q 7 T G k t S W 9 u I E x G U C Z x d W 9 0 O y w m c X V v d D t M Q S B 3 Z X Q m c X V v d D s s J n F 1 b 3 Q 7 T G k t S W 9 u I E x G U C B S Z W Z 1 c m J p c 2 h l Z C Z x d W 9 0 O y w m c X V v d D t B Y 2 V s Z X J v b i B M a S 1 J b 2 4 g T E Z Q J n F 1 b 3 Q 7 L C Z x d W 9 0 O 1 V u a X Q m c X V v d D t d I i A v P j x F b n R y e S B U e X B l P S J G a W x s U 3 R h d H V z I i B W Y W x 1 Z T 0 i c 0 N v b X B s Z X R l I i A v P j x F b n R y e S B U e X B l P S J S Z W x h d G l v b n N o a X B J b m Z v Q 2 9 u d G F p b m V y I i B W Y W x 1 Z T 0 i c 3 s m c X V v d D t j b 2 x 1 b W 5 D b 3 V u d C Z x d W 9 0 O z o x M S w m c X V v d D t r Z X l D b 2 x 1 b W 5 O Y W 1 l c y Z x d W 9 0 O z p b X S w m c X V v d D t x d W V y e V J l b G F 0 a W 9 u c 2 h p c H M m c X V v d D s 6 W 1 0 s J n F 1 b 3 Q 7 Y 2 9 s d W 1 u S W R l b n R p d G l l c y Z x d W 9 0 O z p b J n F 1 b 3 Q 7 U 2 V j d G l v b j E v Q m F 0 d G V y a W V z L 0 N o Y W 5 n Z W Q g V H l w Z S 5 7 U E V S I E J B V F R F U l k g V U 5 J V C B O R V c s M H 0 m c X V v d D s s J n F 1 b 3 Q 7 U 2 V j d G l v b j E v Q m F 0 d G V y a W V z L 0 N o Y W 5 n Z W Q g V H l w Z S 5 7 T G k t S W 9 u I E 5 D Q S w x f S Z x d W 9 0 O y w m c X V v d D t T Z W N 0 a W 9 u M S 9 C Y X R 0 Z X J p Z X M v Q 2 h h b m d l Z C B U e X B l L n t M a S 1 J b 2 4 g T k 1 D M T E x L D J 9 J n F 1 b 3 Q 7 L C Z x d W 9 0 O 1 N l Y 3 R p b 2 4 x L 0 J h d H R l c m l l c y 9 D a G F u Z 2 V k I F R 5 c G U u e 0 x p L U l v b i B O T U M 4 M T E s M 3 0 m c X V v d D s s J n F 1 b 3 Q 7 U 2 V j d G l v b j E v Q m F 0 d G V y a W V z L 0 N o Y W 5 n Z W Q g V H l w Z S 5 7 T E E g V l J M Q S B B R 0 0 s N H 0 m c X V v d D s s J n F 1 b 3 Q 7 U 2 V j d G l v b j E v Q m F 0 d G V y a W V z L 0 N o Y W 5 n Z W Q g V H l w Z S 5 7 T E E g V l J M Q S B H Z W w s N X 0 m c X V v d D s s J n F 1 b 3 Q 7 U 2 V j d G l v b j E v Q m F 0 d G V y a W V z L 0 N o Y W 5 n Z W Q g V H l w Z S 5 7 T G k t S W 9 u I E x G U C w 2 f S Z x d W 9 0 O y w m c X V v d D t T Z W N 0 a W 9 u M S 9 C Y X R 0 Z X J p Z X M v Q 2 h h b m d l Z C B U e X B l L n t M Q S B 3 Z X Q s N 3 0 m c X V v d D s s J n F 1 b 3 Q 7 U 2 V j d G l v b j E v Q m F 0 d G V y a W V z L 0 N o Y W 5 n Z W Q g V H l w Z S 5 7 T G k t S W 9 u I E x G U C B S Z W Z 1 c m J p c 2 h l Z C w 4 f S Z x d W 9 0 O y w m c X V v d D t T Z W N 0 a W 9 u M S 9 C Y X R 0 Z X J p Z X M v Q 2 h h b m d l Z C B U e X B l L n t B Y 2 V s Z X J v b i B M a S 1 J b 2 4 g T E Z Q L D l 9 J n F 1 b 3 Q 7 L C Z x d W 9 0 O 1 N l Y 3 R p b 2 4 x L 0 J h d H R l c m l l c y 9 D a G F u Z 2 V k I F R 5 c G U u e 1 V u a X Q s M T B 9 J n F 1 b 3 Q 7 X S w m c X V v d D t D b 2 x 1 b W 5 D b 3 V u d C Z x d W 9 0 O z o x M S w m c X V v d D t L Z X l D b 2 x 1 b W 5 O Y W 1 l c y Z x d W 9 0 O z p b X S w m c X V v d D t D b 2 x 1 b W 5 J Z G V u d G l 0 a W V z J n F 1 b 3 Q 7 O l s m c X V v d D t T Z W N 0 a W 9 u M S 9 C Y X R 0 Z X J p Z X M v Q 2 h h b m d l Z C B U e X B l L n t Q R V I g Q k F U V E V S W S B V T k l U I E 5 F V y w w f S Z x d W 9 0 O y w m c X V v d D t T Z W N 0 a W 9 u M S 9 C Y X R 0 Z X J p Z X M v Q 2 h h b m d l Z C B U e X B l L n t M a S 1 J b 2 4 g T k N B L D F 9 J n F 1 b 3 Q 7 L C Z x d W 9 0 O 1 N l Y 3 R p b 2 4 x L 0 J h d H R l c m l l c y 9 D a G F u Z 2 V k I F R 5 c G U u e 0 x p L U l v b i B O T U M x M T E s M n 0 m c X V v d D s s J n F 1 b 3 Q 7 U 2 V j d G l v b j E v Q m F 0 d G V y a W V z L 0 N o Y W 5 n Z W Q g V H l w Z S 5 7 T G k t S W 9 u I E 5 N Q z g x M S w z f S Z x d W 9 0 O y w m c X V v d D t T Z W N 0 a W 9 u M S 9 C Y X R 0 Z X J p Z X M v Q 2 h h b m d l Z C B U e X B l L n t M Q S B W U k x B I E F H T S w 0 f S Z x d W 9 0 O y w m c X V v d D t T Z W N 0 a W 9 u M S 9 C Y X R 0 Z X J p Z X M v Q 2 h h b m d l Z C B U e X B l L n t M Q S B W U k x B I E d l b C w 1 f S Z x d W 9 0 O y w m c X V v d D t T Z W N 0 a W 9 u M S 9 C Y X R 0 Z X J p Z X M v Q 2 h h b m d l Z C B U e X B l L n t M a S 1 J b 2 4 g T E Z Q L D Z 9 J n F 1 b 3 Q 7 L C Z x d W 9 0 O 1 N l Y 3 R p b 2 4 x L 0 J h d H R l c m l l c y 9 D a G F u Z 2 V k I F R 5 c G U u e 0 x B I H d l d C w 3 f S Z x d W 9 0 O y w m c X V v d D t T Z W N 0 a W 9 u M S 9 C Y X R 0 Z X J p Z X M v Q 2 h h b m d l Z C B U e X B l L n t M a S 1 J b 2 4 g T E Z Q I F J l Z n V y Y m l z a G V k L D h 9 J n F 1 b 3 Q 7 L C Z x d W 9 0 O 1 N l Y 3 R p b 2 4 x L 0 J h d H R l c m l l c y 9 D a G F u Z 2 V k I F R 5 c G U u e 0 F j Z W x l c m 9 u I E x p L U l v b i B M R l A s O X 0 m c X V v d D s s J n F 1 b 3 Q 7 U 2 V j d G l v b j E v Q m F 0 d G V y a W V z L 0 N o Y W 5 n Z W Q g V H l w Z S 5 7 V W 5 p d C w x M H 0 m c X V v d D t d L C Z x d W 9 0 O 1 J l b G F 0 a W 9 u c 2 h p c E l u Z m 8 m c X V v d D s 6 W 1 1 9 I i A v P j w v U 3 R h Y m x l R W 5 0 c m l l c z 4 8 L 0 l 0 Z W 0 + P E l 0 Z W 0 + P E l 0 Z W 1 M b 2 N h d G l v b j 4 8 S X R l b V R 5 c G U + R m 9 y b X V s Y T w v S X R l b V R 5 c G U + P E l 0 Z W 1 Q Y X R o P l N l Y 3 R p b 2 4 x L 0 J h d H R l c m l l c y 9 T b 3 V y Y 2 U 8 L 0 l 0 Z W 1 Q Y X R o P j w v S X R l b U x v Y 2 F 0 a W 9 u P j x T d G F i b G V F b n R y a W V z I C 8 + P C 9 J d G V t P j x J d G V t P j x J d G V t T G 9 j Y X R p b 2 4 + P E l 0 Z W 1 U e X B l P k Z v c m 1 1 b G E 8 L 0 l 0 Z W 1 U e X B l P j x J d G V t U G F 0 a D 5 T Z W N 0 a W 9 u M S 9 C Y X R 0 Z X J p Z X M v Q m F 0 d G V y a W V z X 1 N o Z W V 0 P C 9 J d G V t U G F 0 a D 4 8 L 0 l 0 Z W 1 M b 2 N h d G l v b j 4 8 U 3 R h Y m x l R W 5 0 c m l l c y A v P j w v S X R l b T 4 8 S X R l b T 4 8 S X R l b U x v Y 2 F 0 a W 9 u P j x J d G V t V H l w Z T 5 G b 3 J t d W x h P C 9 J d G V t V H l w Z T 4 8 S X R l b V B h d G g + U 2 V j d G l v b j E v Q m l v Z 2 V u a W M 8 L 0 l 0 Z W 1 Q Y X R o P j w v S X R l b U x v Y 2 F 0 a W 9 u P j x T d G F i b G V F b n R y a W V z P j x F b n R y e S B U e X B l P S J J c 1 B y a X Z h d G U i I F Z h b H V l P S J s M C I g L z 4 8 R W 5 0 c n k g V H l w Z T 0 i U X V l c n l J R C I g V m F s d W U 9 I n M 4 Y T M z N m I 2 O S 0 z Z j U 4 L T R k Z W M t Y m I 2 Y S 1 i O W J h Y z Z l N D A x O W Q i I C 8 + P E V u d H J 5 I F R 5 c G U 9 I k Z p b G x F b m F i b G V k I i B W Y W x 1 Z T 0 i b D A i I C 8 + P E V u d H J 5 I F R 5 c G U 9 I k Z p b G x P Y m p l Y 3 R U e X B l I i B W Y W x 1 Z T 0 i c 0 N v b m 5 l Y 3 R p b 2 5 P b m x 5 I i A v P j x F b n R y e S B U e X B l P S J G a W x s V G 9 E Y X R h T W 9 k Z W x F b m F i b G V k I i B W Y W x 1 Z T 0 i b D E i I C 8 + P E V u d H J 5 I F R 5 c G U 9 I k J 1 Z m Z l c k 5 l e H R S Z W Z y Z X N o I i B W Y W x 1 Z T 0 i b D E i I C 8 + P E V u d H J 5 I F R 5 c G U 9 I l J l c 3 V s d F R 5 c G U i I F Z h b H V l P S J z V G F i b G U i I C 8 + P E V u d H J 5 I F R 5 c G U 9 I k 5 h b W V V c G R h d G V k Q W Z 0 Z X J G a W x s I i B W Y W x 1 Z T 0 i b D A i I C 8 + P E V u d H J 5 I F R 5 c G U 9 I k Z p b G x l Z E N v b X B s Z X R l U m V z d W x 0 V G 9 X b 3 J r c 2 h l Z X Q i I F Z h b H V l P S J s M C I g L z 4 8 R W 5 0 c n k g V H l w Z T 0 i Q W R k Z W R U b 0 R h d G F N b 2 R l b C I g V m F s d W U 9 I m w x I i A v P j x F b n R y e S B U e X B l P S J G a W x s Q 2 9 1 b n Q i I F Z h b H V l P S J s M j E i I C 8 + P E V u d H J 5 I F R 5 c G U 9 I k Z p b G x F c n J v c k N v Z G U i I F Z h b H V l P S J z V W 5 r b m 9 3 b i I g L z 4 8 R W 5 0 c n k g V H l w Z T 0 i R m l s b E V y c m 9 y Q 2 9 1 b n Q i I F Z h b H V l P S J s M C I g L z 4 8 R W 5 0 c n k g V H l w Z T 0 i R m l s b E x h c 3 R V c G R h d G V k I i B W Y W x 1 Z T 0 i Z D I w M j Q t M D c t M j l U M D g 6 N D g 6 N T Q u N D Q 2 N z Y 0 M F o i I C 8 + P E V u d H J 5 I F R 5 c G U 9 I k Z p b G x D b 2 x 1 b W 5 U e X B l c y I g V m F s d W U 9 I n N B Q U F H Q U F Z R k J n Q U d C U V l B Q U F B R y I g L z 4 8 R W 5 0 c n k g V H l w Z T 0 i R m l s b E N v b H V t b k 5 h b W V z I i B W Y W x 1 Z T 0 i c 1 s m c X V v d D t T d H J h d y Z x d W 9 0 O y w m c X V v d D t D b 2 x 1 b W 4 y J n F 1 b 3 Q 7 L C Z x d W 9 0 O 0 N v b H V t b j M m c X V v d D s s J n F 1 b 3 Q 7 Q 2 9 s d W 1 u N C Z x d W 9 0 O y w m c X V v d D t U a W 1 i Z X I m c X V v d D s s J n F 1 b 3 Q 7 Q 2 9 s d W 1 u N i Z x d W 9 0 O y w m c X V v d D t D b 2 x 1 b W 4 3 J n F 1 b 3 Q 7 L C Z x d W 9 0 O 0 N v b H V t b j g m c X V v d D s s J n F 1 b 3 Q 7 R W N v Y m 9 h c m R z I H B l c i B r Z y Z x d W 9 0 O y w m c X V v d D t D b 2 x 1 b W 4 x M C Z x d W 9 0 O y w m c X V v d D t D b 2 x 1 b W 4 x M S Z x d W 9 0 O y w m c X V v d D t D b 2 x 1 b W 4 x M i Z x d W 9 0 O y w m c X V v d D t D b 2 x 1 b W 4 x M y Z x d W 9 0 O y w m c X V v d D t D b 2 x 1 b W 4 x N C Z x d W 9 0 O y w m c X V v d D t O b 3 R l c y Z x d W 9 0 O 1 0 i I C 8 + P E V u d H J 5 I F R 5 c G U 9 I k Z p b G x T d G F 0 d X M i I F Z h b H V l P S J z Q 2 9 t c G x l d G U i I C 8 + P E V u d H J 5 I F R 5 c G U 9 I l J l b G F 0 a W 9 u c 2 h p c E l u Z m 9 D b 2 5 0 Y W l u Z X I i I F Z h b H V l P S J z e y Z x d W 9 0 O 2 N v b H V t b k N v d W 5 0 J n F 1 b 3 Q 7 O j E 1 L C Z x d W 9 0 O 2 t l e U N v b H V t b k 5 h b W V z J n F 1 b 3 Q 7 O l t d L C Z x d W 9 0 O 3 F 1 Z X J 5 U m V s Y X R p b 2 5 z a G l w c y Z x d W 9 0 O z p b X S w m c X V v d D t j b 2 x 1 b W 5 J Z G V u d G l 0 a W V z J n F 1 b 3 Q 7 O l s m c X V v d D t T Z W N 0 a W 9 u M S 9 C a W 9 n Z W 5 p Y y 9 D a G F u Z 2 V k I F R 5 c G U u e 1 N 0 c m F 3 L D B 9 J n F 1 b 3 Q 7 L C Z x d W 9 0 O 1 N l Y 3 R p b 2 4 x L 0 J p b 2 d l b m l j L 0 N o Y W 5 n Z W Q g V H l w Z S 5 7 Q 2 9 s d W 1 u M i w x f S Z x d W 9 0 O y w m c X V v d D t T Z W N 0 a W 9 u M S 9 C a W 9 n Z W 5 p Y y 9 D a G F u Z 2 V k I F R 5 c G U u e 0 N v b H V t b j M s M n 0 m c X V v d D s s J n F 1 b 3 Q 7 U 2 V j d G l v b j E v Q m l v Z 2 V u a W M v Q 2 h h b m d l Z C B U e X B l L n t D b 2 x 1 b W 4 0 L D N 9 J n F 1 b 3 Q 7 L C Z x d W 9 0 O 1 N l Y 3 R p b 2 4 x L 0 J p b 2 d l b m l j L 0 N o Y W 5 n Z W Q g V H l w Z S 5 7 V G l t Y m V y L D R 9 J n F 1 b 3 Q 7 L C Z x d W 9 0 O 1 N l Y 3 R p b 2 4 x L 0 J p b 2 d l b m l j L 0 N o Y W 5 n Z W Q g V H l w Z S 5 7 Q 2 9 s d W 1 u N i w 1 f S Z x d W 9 0 O y w m c X V v d D t T Z W N 0 a W 9 u M S 9 C a W 9 n Z W 5 p Y y 9 D a G F u Z 2 V k I F R 5 c G U u e 0 N v b H V t b j c s N n 0 m c X V v d D s s J n F 1 b 3 Q 7 U 2 V j d G l v b j E v Q m l v Z 2 V u a W M v Q 2 h h b m d l Z C B U e X B l L n t D b 2 x 1 b W 4 4 L D d 9 J n F 1 b 3 Q 7 L C Z x d W 9 0 O 1 N l Y 3 R p b 2 4 x L 0 J p b 2 d l b m l j L 0 N o Y W 5 n Z W Q g V H l w Z S 5 7 R W N v Y m 9 h c m R z I H B l c i B r Z y w 4 f S Z x d W 9 0 O y w m c X V v d D t T Z W N 0 a W 9 u M S 9 C a W 9 n Z W 5 p Y y 9 D a G F u Z 2 V k I F R 5 c G U u e 0 N v b H V t b j E w L D l 9 J n F 1 b 3 Q 7 L C Z x d W 9 0 O 1 N l Y 3 R p b 2 4 x L 0 J p b 2 d l b m l j L 0 N o Y W 5 n Z W Q g V H l w Z S 5 7 Q 2 9 s d W 1 u M T E s M T B 9 J n F 1 b 3 Q 7 L C Z x d W 9 0 O 1 N l Y 3 R p b 2 4 x L 0 J p b 2 d l b m l j L 0 N o Y W 5 n Z W Q g V H l w Z S 5 7 Q 2 9 s d W 1 u M T I s M T F 9 J n F 1 b 3 Q 7 L C Z x d W 9 0 O 1 N l Y 3 R p b 2 4 x L 0 J p b 2 d l b m l j L 0 N o Y W 5 n Z W Q g V H l w Z S 5 7 Q 2 9 s d W 1 u M T M s M T J 9 J n F 1 b 3 Q 7 L C Z x d W 9 0 O 1 N l Y 3 R p b 2 4 x L 0 J p b 2 d l b m l j L 0 N o Y W 5 n Z W Q g V H l w Z S 5 7 Q 2 9 s d W 1 u M T Q s M T N 9 J n F 1 b 3 Q 7 L C Z x d W 9 0 O 1 N l Y 3 R p b 2 4 x L 0 J p b 2 d l b m l j L 0 N o Y W 5 n Z W Q g V H l w Z S 5 7 T m 9 0 Z X M s M T R 9 J n F 1 b 3 Q 7 X S w m c X V v d D t D b 2 x 1 b W 5 D b 3 V u d C Z x d W 9 0 O z o x N S w m c X V v d D t L Z X l D b 2 x 1 b W 5 O Y W 1 l c y Z x d W 9 0 O z p b X S w m c X V v d D t D b 2 x 1 b W 5 J Z G V u d G l 0 a W V z J n F 1 b 3 Q 7 O l s m c X V v d D t T Z W N 0 a W 9 u M S 9 C a W 9 n Z W 5 p Y y 9 D a G F u Z 2 V k I F R 5 c G U u e 1 N 0 c m F 3 L D B 9 J n F 1 b 3 Q 7 L C Z x d W 9 0 O 1 N l Y 3 R p b 2 4 x L 0 J p b 2 d l b m l j L 0 N o Y W 5 n Z W Q g V H l w Z S 5 7 Q 2 9 s d W 1 u M i w x f S Z x d W 9 0 O y w m c X V v d D t T Z W N 0 a W 9 u M S 9 C a W 9 n Z W 5 p Y y 9 D a G F u Z 2 V k I F R 5 c G U u e 0 N v b H V t b j M s M n 0 m c X V v d D s s J n F 1 b 3 Q 7 U 2 V j d G l v b j E v Q m l v Z 2 V u a W M v Q 2 h h b m d l Z C B U e X B l L n t D b 2 x 1 b W 4 0 L D N 9 J n F 1 b 3 Q 7 L C Z x d W 9 0 O 1 N l Y 3 R p b 2 4 x L 0 J p b 2 d l b m l j L 0 N o Y W 5 n Z W Q g V H l w Z S 5 7 V G l t Y m V y L D R 9 J n F 1 b 3 Q 7 L C Z x d W 9 0 O 1 N l Y 3 R p b 2 4 x L 0 J p b 2 d l b m l j L 0 N o Y W 5 n Z W Q g V H l w Z S 5 7 Q 2 9 s d W 1 u N i w 1 f S Z x d W 9 0 O y w m c X V v d D t T Z W N 0 a W 9 u M S 9 C a W 9 n Z W 5 p Y y 9 D a G F u Z 2 V k I F R 5 c G U u e 0 N v b H V t b j c s N n 0 m c X V v d D s s J n F 1 b 3 Q 7 U 2 V j d G l v b j E v Q m l v Z 2 V u a W M v Q 2 h h b m d l Z C B U e X B l L n t D b 2 x 1 b W 4 4 L D d 9 J n F 1 b 3 Q 7 L C Z x d W 9 0 O 1 N l Y 3 R p b 2 4 x L 0 J p b 2 d l b m l j L 0 N o Y W 5 n Z W Q g V H l w Z S 5 7 R W N v Y m 9 h c m R z I H B l c i B r Z y w 4 f S Z x d W 9 0 O y w m c X V v d D t T Z W N 0 a W 9 u M S 9 C a W 9 n Z W 5 p Y y 9 D a G F u Z 2 V k I F R 5 c G U u e 0 N v b H V t b j E w L D l 9 J n F 1 b 3 Q 7 L C Z x d W 9 0 O 1 N l Y 3 R p b 2 4 x L 0 J p b 2 d l b m l j L 0 N o Y W 5 n Z W Q g V H l w Z S 5 7 Q 2 9 s d W 1 u M T E s M T B 9 J n F 1 b 3 Q 7 L C Z x d W 9 0 O 1 N l Y 3 R p b 2 4 x L 0 J p b 2 d l b m l j L 0 N o Y W 5 n Z W Q g V H l w Z S 5 7 Q 2 9 s d W 1 u M T I s M T F 9 J n F 1 b 3 Q 7 L C Z x d W 9 0 O 1 N l Y 3 R p b 2 4 x L 0 J p b 2 d l b m l j L 0 N o Y W 5 n Z W Q g V H l w Z S 5 7 Q 2 9 s d W 1 u M T M s M T J 9 J n F 1 b 3 Q 7 L C Z x d W 9 0 O 1 N l Y 3 R p b 2 4 x L 0 J p b 2 d l b m l j L 0 N o Y W 5 n Z W Q g V H l w Z S 5 7 Q 2 9 s d W 1 u M T Q s M T N 9 J n F 1 b 3 Q 7 L C Z x d W 9 0 O 1 N l Y 3 R p b 2 4 x L 0 J p b 2 d l b m l j L 0 N o Y W 5 n Z W Q g V H l w Z S 5 7 T m 9 0 Z X M s M T R 9 J n F 1 b 3 Q 7 X S w m c X V v d D t S Z W x h d G l v b n N o a X B J b m Z v J n F 1 b 3 Q 7 O l t d f S I g L z 4 8 L 1 N 0 Y W J s Z U V u d H J p Z X M + P C 9 J d G V t P j x J d G V t P j x J d G V t T G 9 j Y X R p b 2 4 + P E l 0 Z W 1 U e X B l P k Z v c m 1 1 b G E 8 L 0 l 0 Z W 1 U e X B l P j x J d G V t U G F 0 a D 5 T Z W N 0 a W 9 u M S 9 C a W 9 n Z W 5 p Y y 9 T b 3 V y Y 2 U 8 L 0 l 0 Z W 1 Q Y X R o P j w v S X R l b U x v Y 2 F 0 a W 9 u P j x T d G F i b G V F b n R y a W V z I C 8 + P C 9 J d G V t P j x J d G V t P j x J d G V t T G 9 j Y X R p b 2 4 + P E l 0 Z W 1 U e X B l P k Z v c m 1 1 b G E 8 L 0 l 0 Z W 1 U e X B l P j x J d G V t U G F 0 a D 5 T Z W N 0 a W 9 u M S 9 C a W 9 n Z W 5 p Y y 9 C a W 9 n Z W 5 p Y 1 9 T a G V l d D w v S X R l b V B h d G g + P C 9 J d G V t T G 9 j Y X R p b 2 4 + P F N 0 Y W J s Z U V u d H J p Z X M g L z 4 8 L 0 l 0 Z W 0 + P E l 0 Z W 0 + P E l 0 Z W 1 M b 2 N h d G l v b j 4 8 S X R l b V R 5 c G U + R m 9 y b X V s Y T w v S X R l b V R 5 c G U + P E l 0 Z W 1 Q Y X R o P l N l Y 3 R p b 2 4 x L 0 J p b 2 d l b m l j L 1 B y b 2 1 v d G V k J T I w S G V h Z G V y c z w v S X R l b V B h d G g + P C 9 J d G V t T G 9 j Y X R p b 2 4 + P F N 0 Y W J s Z U V u d H J p Z X M g L z 4 8 L 0 l 0 Z W 0 + P E l 0 Z W 0 + P E l 0 Z W 1 M b 2 N h d G l v b j 4 8 S X R l b V R 5 c G U + R m 9 y b X V s Y T w v S X R l b V R 5 c G U + P E l 0 Z W 1 Q Y X R o P l N l Y 3 R p b 2 4 x L 0 J p b 2 d l b m l j L 0 N o Y W 5 n Z W Q l M j B U e X B l P C 9 J d G V t U G F 0 a D 4 8 L 0 l 0 Z W 1 M b 2 N h d G l v b j 4 8 U 3 R h Y m x l R W 5 0 c m l l c y A v P j w v S X R l b T 4 8 S X R l b T 4 8 S X R l b U x v Y 2 F 0 a W 9 u P j x J d G V t V H l w Z T 5 G b 3 J t d W x h P C 9 J d G V t V H l w Z T 4 8 S X R l b V B h d G g + U 2 V j d G l v b j E v Q 2 h h c m N v b 2 x l c j w v S X R l b V B h d G g + P C 9 J d G V t T G 9 j Y X R p b 2 4 + P F N 0 Y W J s Z U V u d H J p Z X M + P E V u d H J 5 I F R 5 c G U 9 I k l z U H J p d m F 0 Z S I g V m F s d W U 9 I m w w I i A v P j x F b n R y e S B U e X B l P S J R d W V y e U l E I i B W Y W x 1 Z T 0 i c z A 0 N j R h M G Z k L W I 1 N D c t N D d j M C 0 5 O T Y 0 L T Y 0 Y j E 5 M 2 I 4 Y j Q 5 Z C 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R m l s b G V k Q 2 9 t c G x l d G V S Z X N 1 b H R U b 1 d v c m t z a G V l d C I g V m F s d W U 9 I m w w I i A v P j x F b n R y e S B U e X B l P S J B Z G R l Z F R v R G F 0 Y U 1 v Z G V s I i B W Y W x 1 Z T 0 i b D E i I C 8 + P E V u d H J 5 I F R 5 c G U 9 I k Z p b G x D b 3 V u d C I g V m F s d W U 9 I m w x O C I g L z 4 8 R W 5 0 c n k g V H l w Z T 0 i R m l s b E V y c m 9 y Q 2 9 k Z S I g V m F s d W U 9 I n N V b m t u b 3 d u I i A v P j x F b n R y e S B U e X B l P S J G a W x s R X J y b 3 J D b 3 V u d C I g V m F s d W U 9 I m w w I i A v P j x F b n R y e S B U e X B l P S J G a W x s T G F z d F V w Z G F 0 Z W Q i I F Z h b H V l P S J k M j A y N C 0 w N y 0 y O V Q w O D o 0 O D o 1 N C 4 0 N T Q 2 O D c 0 W i I g L z 4 8 R W 5 0 c n k g V H l w Z T 0 i R m l s b E N v b H V t b l R 5 c G V z I i B W Y W x 1 Z T 0 i c 0 J n Q U F B Q U F B Q l F Z Q U J R P T 0 i I C 8 + P E V u d H J 5 I F R 5 c G U 9 I k Z p b G x D b 2 x 1 b W 5 O Y W 1 l c y I g V m F s d W U 9 I n N b J n F 1 b 3 Q 7 T m F t Z S Z x d W 9 0 O y w m c X V v d D t D Y X R l Z 2 9 y e S Z x d W 9 0 O y w m c X V v d D t J b n Z l b n R v c n k g c m V z d W x 0 J n F 1 b 3 Q 7 L C Z x d W 9 0 O 1 V u a X Q m c X V v d D s s J n F 1 b 3 Q 7 S W 1 w Y W N 0 I G Z h Y 3 R v c i Z x d W 9 0 O y w m c X V v d D t V b m l 0 X z E m c X V v d D s s J n F 1 b 3 Q 7 S W 1 w Y W N 0 I H J l c 3 V s d C Z x d W 9 0 O y w m c X V v d D t V b m l 0 X z I m c X V v d D s s J n F 1 b 3 Q 7 Q 2 9 s d W 1 u O S Z x d W 9 0 O y w m c X V v d D t Z Z X M m c X V v d D t d I i A v P j x F b n R y e S B U e X B l P S J G a W x s U 3 R h d H V z I i B W Y W x 1 Z T 0 i c 0 N v b X B s Z X R l I i A v P j x F b n R y e S B U e X B l P S J S Z W x h d G l v b n N o a X B J b m Z v Q 2 9 u d G F p b m V y I i B W Y W x 1 Z T 0 i c 3 s m c X V v d D t j b 2 x 1 b W 5 D b 3 V u d C Z x d W 9 0 O z o x M C w m c X V v d D t r Z X l D b 2 x 1 b W 5 O Y W 1 l c y Z x d W 9 0 O z p b X S w m c X V v d D t x d W V y e V J l b G F 0 a W 9 u c 2 h p c H M m c X V v d D s 6 W 1 0 s J n F 1 b 3 Q 7 Y 2 9 s d W 1 u S W R l b n R p d G l l c y Z x d W 9 0 O z p b J n F 1 b 3 Q 7 U 2 V j d G l v b j E v Q 2 h h c m N v b 2 x l c i 9 D a G F u Z 2 V k I F R 5 c G U u e 0 5 h b W U s M H 0 m c X V v d D s s J n F 1 b 3 Q 7 U 2 V j d G l v b j E v Q 2 h h c m N v b 2 x l c i 9 D a G F u Z 2 V k I F R 5 c G U u e 0 N h d G V n b 3 J 5 L D F 9 J n F 1 b 3 Q 7 L C Z x d W 9 0 O 1 N l Y 3 R p b 2 4 x L 0 N o Y X J j b 2 9 s Z X I v Q 2 h h b m d l Z C B U e X B l L n t J b n Z l b n R v c n k g c m V z d W x 0 L D J 9 J n F 1 b 3 Q 7 L C Z x d W 9 0 O 1 N l Y 3 R p b 2 4 x L 0 N o Y X J j b 2 9 s Z X I v Q 2 h h b m d l Z C B U e X B l L n t V b m l 0 L D N 9 J n F 1 b 3 Q 7 L C Z x d W 9 0 O 1 N l Y 3 R p b 2 4 x L 0 N o Y X J j b 2 9 s Z X I v Q 2 h h b m d l Z C B U e X B l L n t J b X B h Y 3 Q g Z m F j d G 9 y L D R 9 J n F 1 b 3 Q 7 L C Z x d W 9 0 O 1 N l Y 3 R p b 2 4 x L 0 N o Y X J j b 2 9 s Z X I v Q 2 h h b m d l Z C B U e X B l L n t V b m l 0 X z E s N X 0 m c X V v d D s s J n F 1 b 3 Q 7 U 2 V j d G l v b j E v Q 2 h h c m N v b 2 x l c i 9 D a G F u Z 2 V k I F R 5 c G U u e 0 l t c G F j d C B y Z X N 1 b H Q s N n 0 m c X V v d D s s J n F 1 b 3 Q 7 U 2 V j d G l v b j E v Q 2 h h c m N v b 2 x l c i 9 D a G F u Z 2 V k I F R 5 c G U u e 1 V u a X R f M i w 3 f S Z x d W 9 0 O y w m c X V v d D t T Z W N 0 a W 9 u M S 9 D a G F y Y 2 9 v b G V y L 0 N o Y W 5 n Z W Q g V H l w Z S 5 7 Q 2 9 s d W 1 u O S w 4 f S Z x d W 9 0 O y w m c X V v d D t T Z W N 0 a W 9 u M S 9 D a G F y Y 2 9 v b G V y L 0 N o Y W 5 n Z W Q g V H l w Z S 5 7 W W V z L D l 9 J n F 1 b 3 Q 7 X S w m c X V v d D t D b 2 x 1 b W 5 D b 3 V u d C Z x d W 9 0 O z o x M C w m c X V v d D t L Z X l D b 2 x 1 b W 5 O Y W 1 l c y Z x d W 9 0 O z p b X S w m c X V v d D t D b 2 x 1 b W 5 J Z G V u d G l 0 a W V z J n F 1 b 3 Q 7 O l s m c X V v d D t T Z W N 0 a W 9 u M S 9 D a G F y Y 2 9 v b G V y L 0 N o Y W 5 n Z W Q g V H l w Z S 5 7 T m F t Z S w w f S Z x d W 9 0 O y w m c X V v d D t T Z W N 0 a W 9 u M S 9 D a G F y Y 2 9 v b G V y L 0 N o Y W 5 n Z W Q g V H l w Z S 5 7 Q 2 F 0 Z W d v c n k s M X 0 m c X V v d D s s J n F 1 b 3 Q 7 U 2 V j d G l v b j E v Q 2 h h c m N v b 2 x l c i 9 D a G F u Z 2 V k I F R 5 c G U u e 0 l u d m V u d G 9 y e S B y Z X N 1 b H Q s M n 0 m c X V v d D s s J n F 1 b 3 Q 7 U 2 V j d G l v b j E v Q 2 h h c m N v b 2 x l c i 9 D a G F u Z 2 V k I F R 5 c G U u e 1 V u a X Q s M 3 0 m c X V v d D s s J n F 1 b 3 Q 7 U 2 V j d G l v b j E v Q 2 h h c m N v b 2 x l c i 9 D a G F u Z 2 V k I F R 5 c G U u e 0 l t c G F j d C B m Y W N 0 b 3 I s N H 0 m c X V v d D s s J n F 1 b 3 Q 7 U 2 V j d G l v b j E v Q 2 h h c m N v b 2 x l c i 9 D a G F u Z 2 V k I F R 5 c G U u e 1 V u a X R f M S w 1 f S Z x d W 9 0 O y w m c X V v d D t T Z W N 0 a W 9 u M S 9 D a G F y Y 2 9 v b G V y L 0 N o Y W 5 n Z W Q g V H l w Z S 5 7 S W 1 w Y W N 0 I H J l c 3 V s d C w 2 f S Z x d W 9 0 O y w m c X V v d D t T Z W N 0 a W 9 u M S 9 D a G F y Y 2 9 v b G V y L 0 N o Y W 5 n Z W Q g V H l w Z S 5 7 V W 5 p d F 8 y L D d 9 J n F 1 b 3 Q 7 L C Z x d W 9 0 O 1 N l Y 3 R p b 2 4 x L 0 N o Y X J j b 2 9 s Z X I v Q 2 h h b m d l Z C B U e X B l L n t D b 2 x 1 b W 4 5 L D h 9 J n F 1 b 3 Q 7 L C Z x d W 9 0 O 1 N l Y 3 R p b 2 4 x L 0 N o Y X J j b 2 9 s Z X I v Q 2 h h b m d l Z C B U e X B l L n t Z Z X M s O X 0 m c X V v d D t d L C Z x d W 9 0 O 1 J l b G F 0 a W 9 u c 2 h p c E l u Z m 8 m c X V v d D s 6 W 1 1 9 I i A v P j w v U 3 R h Y m x l R W 5 0 c m l l c z 4 8 L 0 l 0 Z W 0 + P E l 0 Z W 0 + P E l 0 Z W 1 M b 2 N h d G l v b j 4 8 S X R l b V R 5 c G U + R m 9 y b X V s Y T w v S X R l b V R 5 c G U + P E l 0 Z W 1 Q Y X R o P l N l Y 3 R p b 2 4 x L 0 N o Y X J j b 2 9 s Z X I v U 2 9 1 c m N l P C 9 J d G V t U G F 0 a D 4 8 L 0 l 0 Z W 1 M b 2 N h d G l v b j 4 8 U 3 R h Y m x l R W 5 0 c m l l c y A v P j w v S X R l b T 4 8 S X R l b T 4 8 S X R l b U x v Y 2 F 0 a W 9 u P j x J d G V t V H l w Z T 5 G b 3 J t d W x h P C 9 J d G V t V H l w Z T 4 8 S X R l b V B h d G g + U 2 V j d G l v b j E v Q 2 h h c m N v b 2 x l c i 9 D a G F y Y 2 9 v b G V y X 1 N o Z W V 0 P C 9 J d G V t U G F 0 a D 4 8 L 0 l 0 Z W 1 M b 2 N h d G l v b j 4 8 U 3 R h Y m x l R W 5 0 c m l l c y A v P j w v S X R l b T 4 8 S X R l b T 4 8 S X R l b U x v Y 2 F 0 a W 9 u P j x J d G V t V H l w Z T 5 G b 3 J t d W x h P C 9 J d G V t V H l w Z T 4 8 S X R l b V B h d G g + U 2 V j d G l v b j E v Q 2 h h c m N v b 2 x l c i 9 Q c m 9 t b 3 R l Z C U y M E h l Y W R l c n M 8 L 0 l 0 Z W 1 Q Y X R o P j w v S X R l b U x v Y 2 F 0 a W 9 u P j x T d G F i b G V F b n R y a W V z I C 8 + P C 9 J d G V t P j x J d G V t P j x J d G V t T G 9 j Y X R p b 2 4 + P E l 0 Z W 1 U e X B l P k Z v c m 1 1 b G E 8 L 0 l 0 Z W 1 U e X B l P j x J d G V t U G F 0 a D 5 T Z W N 0 a W 9 u M S 9 D a G F y Y 2 9 v b G V y L 0 N o Y W 5 n Z W Q l M j B U e X B l P C 9 J d G V t U G F 0 a D 4 8 L 0 l 0 Z W 1 M b 2 N h d G l v b j 4 8 U 3 R h Y m x l R W 5 0 c m l l c y A v P j w v S X R l b T 4 8 S X R l b T 4 8 S X R l b U x v Y 2 F 0 a W 9 u P j x J d G V t V H l w Z T 5 G b 3 J t d W x h P C 9 J d G V t V H l w Z T 4 8 S X R l b V B h d G g + U 2 V j d G l v b j E v Q 2 9 u c 3 R y d W N 0 a W 9 u P C 9 J d G V t U G F 0 a D 4 8 L 0 l 0 Z W 1 M b 2 N h d G l v b j 4 8 U 3 R h Y m x l R W 5 0 c m l l c z 4 8 R W 5 0 c n k g V H l w Z T 0 i S X N Q c m l 2 Y X R l I i B W Y W x 1 Z T 0 i b D A i I C 8 + P E V u d H J 5 I F R 5 c G U 9 I l F 1 Z X J 5 S U Q i I F Z h b H V l P S J z O D R j Y T E 5 Y z Y t N j c 1 O S 0 0 M G Q 0 L W F l M W E t Z j Q y Z T Z l O D c w M T I 4 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O Y W 1 l V X B k Y X R l Z E F m d G V y R m l s b C I g V m F s d W U 9 I m w w I i A v P j x F b n R y e S B U e X B l P S J G a W x s Z W R D b 2 1 w b G V 0 Z V J l c 3 V s d F R v V 2 9 y a 3 N o Z W V 0 I i B W Y W x 1 Z T 0 i b D A i I C 8 + P E V u d H J 5 I F R 5 c G U 9 I k F k Z G V k V G 9 E Y X R h T W 9 k Z W w i I F Z h b H V l P S J s M S I g L z 4 8 R W 5 0 c n k g V H l w Z T 0 i R m l s b E N v d W 5 0 I i B W Y W x 1 Z T 0 i b D A i I C 8 + P E V u d H J 5 I F R 5 c G U 9 I k Z p b G x F c n J v c k N v Z G U i I F Z h b H V l P S J z V W 5 r b m 9 3 b i I g L z 4 8 R W 5 0 c n k g V H l w Z T 0 i R m l s b E V y c m 9 y Q 2 9 1 b n Q i I F Z h b H V l P S J s M C I g L z 4 8 R W 5 0 c n k g V H l w Z T 0 i R m l s b E x h c 3 R V c G R h d G V k I i B W Y W x 1 Z T 0 i Z D I w M j Q t M D c t M j l U M D g 6 N D g 6 N T Q u N D Y w N j Y 4 N l o i I C 8 + P E V u d H J 5 I F R 5 c G U 9 I k Z p b G x D b 2 x 1 b W 5 U e X B l c y I g V m F s d W U 9 I n N B Q T 0 9 I i A v P j x F b n R y e S B U e X B l P S J G a W x s Q 2 9 s d W 1 u T m F t Z X M i I F Z h b H V l P S J z W y Z x d W 9 0 O 0 N v b H V t b j E m c X V v d D t d I i A v P j x F b n R y e S B U e X B l P S J G a W x s U 3 R h d H V z I i B W Y W x 1 Z T 0 i c 0 N v b X B s Z X R l I i A v P j x F b n R y e S B U e X B l P S J S Z W x h d G l v b n N o a X B J b m Z v Q 2 9 u d G F p b m V y I i B W Y W x 1 Z T 0 i c 3 s m c X V v d D t j b 2 x 1 b W 5 D b 3 V u d C Z x d W 9 0 O z o x L C Z x d W 9 0 O 2 t l e U N v b H V t b k 5 h b W V z J n F 1 b 3 Q 7 O l t d L C Z x d W 9 0 O 3 F 1 Z X J 5 U m V s Y X R p b 2 5 z a G l w c y Z x d W 9 0 O z p b X S w m c X V v d D t j b 2 x 1 b W 5 J Z G V u d G l 0 a W V z J n F 1 b 3 Q 7 O l s m c X V v d D t T Z W N 0 a W 9 u M S 9 D b 2 5 z d H J 1 Y 3 R p b 2 4 v Q 2 h h b m d l Z C B U e X B l L n t D b 2 x 1 b W 4 x L D B 9 J n F 1 b 3 Q 7 X S w m c X V v d D t D b 2 x 1 b W 5 D b 3 V u d C Z x d W 9 0 O z o x L C Z x d W 9 0 O 0 t l e U N v b H V t b k 5 h b W V z J n F 1 b 3 Q 7 O l t d L C Z x d W 9 0 O 0 N v b H V t b k l k Z W 5 0 a X R p Z X M m c X V v d D s 6 W y Z x d W 9 0 O 1 N l Y 3 R p b 2 4 x L 0 N v b n N 0 c n V j d G l v b i 9 D a G F u Z 2 V k I F R 5 c G U u e 0 N v b H V t b j E s M H 0 m c X V v d D t d L C Z x d W 9 0 O 1 J l b G F 0 a W 9 u c 2 h p c E l u Z m 8 m c X V v d D s 6 W 1 1 9 I i A v P j w v U 3 R h Y m x l R W 5 0 c m l l c z 4 8 L 0 l 0 Z W 0 + P E l 0 Z W 0 + P E l 0 Z W 1 M b 2 N h d G l v b j 4 8 S X R l b V R 5 c G U + R m 9 y b X V s Y T w v S X R l b V R 5 c G U + P E l 0 Z W 1 Q Y X R o P l N l Y 3 R p b 2 4 x L 0 N v b n N 0 c n V j d G l v b i 9 T b 3 V y Y 2 U 8 L 0 l 0 Z W 1 Q Y X R o P j w v S X R l b U x v Y 2 F 0 a W 9 u P j x T d G F i b G V F b n R y a W V z I C 8 + P C 9 J d G V t P j x J d G V t P j x J d G V t T G 9 j Y X R p b 2 4 + P E l 0 Z W 1 U e X B l P k Z v c m 1 1 b G E 8 L 0 l 0 Z W 1 U e X B l P j x J d G V t U G F 0 a D 5 T Z W N 0 a W 9 u M S 9 D b 2 5 z d H J 1 Y 3 R p b 2 4 v Q 2 9 u c 3 R y d W N 0 a W 9 u X 1 N o Z W V 0 P C 9 J d G V t U G F 0 a D 4 8 L 0 l 0 Z W 1 M b 2 N h d G l v b j 4 8 U 3 R h Y m x l R W 5 0 c m l l c y A v P j w v S X R l b T 4 8 S X R l b T 4 8 S X R l b U x v Y 2 F 0 a W 9 u P j x J d G V t V H l w Z T 5 G b 3 J t d W x h P C 9 J d G V t V H l w Z T 4 8 S X R l b V B h d G g + U 2 V j d G l v b j E v Q 2 9 v b G l u Z z w v S X R l b V B h d G g + P C 9 J d G V t T G 9 j Y X R p b 2 4 + P F N 0 Y W J s Z U V u d H J p Z X M + P E V u d H J 5 I F R 5 c G U 9 I k l z U H J p d m F 0 Z S I g V m F s d W U 9 I m w w I i A v P j x F b n R y e S B U e X B l P S J R d W V y e U l E I i B W Y W x 1 Z T 0 i c z J h Z T l h Z W Y 4 L T c 2 Y z M t N D h l Y i 1 h N W Y 3 L T R i N 2 M 2 Z D c x N T E 5 Z S 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R m l s b G V k Q 2 9 t c G x l d G V S Z X N 1 b H R U b 1 d v c m t z a G V l d C I g V m F s d W U 9 I m w w I i A v P j x F b n R y e S B U e X B l P S J B Z G R l Z F R v R G F 0 Y U 1 v Z G V s I i B W Y W x 1 Z T 0 i b D E i I C 8 + P E V u d H J 5 I F R 5 c G U 9 I k Z p b G x D b 3 V u d C I g V m F s d W U 9 I m w x O C I g L z 4 8 R W 5 0 c n k g V H l w Z T 0 i R m l s b E V y c m 9 y Q 2 9 k Z S I g V m F s d W U 9 I n N V b m t u b 3 d u I i A v P j x F b n R y e S B U e X B l P S J G a W x s R X J y b 3 J D b 3 V u d C I g V m F s d W U 9 I m w w I i A v P j x F b n R y e S B U e X B l P S J G a W x s T G F z d F V w Z G F 0 Z W Q i I F Z h b H V l P S J k M j A y N C 0 w N y 0 y O V Q w O D o 0 O D o 1 N C 4 0 N j U 2 N T A 5 W i I g L z 4 8 R W 5 0 c n k g V H l w Z T 0 i R m l s b E N v b H V t b l R 5 c G V z I i B W Y W x 1 Z T 0 i c 0 J n V U Z C Z z 0 9 I i A v P j x F b n R y e S B U e X B l P S J G a W x s Q 2 9 s d W 1 u T m F t Z X M i I F Z h b H V l P S J z W y Z x d W 9 0 O z E w a 2 c m c X V v d D s s J n F 1 b 3 Q 7 N j A w Y S Z x d W 9 0 O y w m c X V v d D s x M z R h J n F 1 b 3 Q 7 L C Z x d W 9 0 O 1 V u a X Q m c X V v d D t d I i A v P j x F b n R y e S B U e X B l P S J G a W x s U 3 R h d H V z I i B W Y W x 1 Z T 0 i c 0 N v b X B s Z X R l I i A v P j x F b n R y e S B U e X B l P S J S Z W x h d G l v b n N o a X B J b m Z v Q 2 9 u d G F p b m V y I i B W Y W x 1 Z T 0 i c 3 s m c X V v d D t j b 2 x 1 b W 5 D b 3 V u d C Z x d W 9 0 O z o 0 L C Z x d W 9 0 O 2 t l e U N v b H V t b k 5 h b W V z J n F 1 b 3 Q 7 O l t d L C Z x d W 9 0 O 3 F 1 Z X J 5 U m V s Y X R p b 2 5 z a G l w c y Z x d W 9 0 O z p b X S w m c X V v d D t j b 2 x 1 b W 5 J Z G V u d G l 0 a W V z J n F 1 b 3 Q 7 O l s m c X V v d D t T Z W N 0 a W 9 u M S 9 D b 2 9 s a W 5 n L 0 N o Y W 5 n Z W Q g V H l w Z S 5 7 M T B r Z y w w f S Z x d W 9 0 O y w m c X V v d D t T Z W N 0 a W 9 u M S 9 D b 2 9 s a W 5 n L 0 N o Y W 5 n Z W Q g V H l w Z S 5 7 N j A w Y S w x f S Z x d W 9 0 O y w m c X V v d D t T Z W N 0 a W 9 u M S 9 D b 2 9 s a W 5 n L 0 N o Y W 5 n Z W Q g V H l w Z S 5 7 M T M 0 Y S w y f S Z x d W 9 0 O y w m c X V v d D t T Z W N 0 a W 9 u M S 9 D b 2 9 s a W 5 n L 0 N o Y W 5 n Z W Q g V H l w Z S 5 7 V W 5 p d C w z f S Z x d W 9 0 O 1 0 s J n F 1 b 3 Q 7 Q 2 9 s d W 1 u Q 2 9 1 b n Q m c X V v d D s 6 N C w m c X V v d D t L Z X l D b 2 x 1 b W 5 O Y W 1 l c y Z x d W 9 0 O z p b X S w m c X V v d D t D b 2 x 1 b W 5 J Z G V u d G l 0 a W V z J n F 1 b 3 Q 7 O l s m c X V v d D t T Z W N 0 a W 9 u M S 9 D b 2 9 s a W 5 n L 0 N o Y W 5 n Z W Q g V H l w Z S 5 7 M T B r Z y w w f S Z x d W 9 0 O y w m c X V v d D t T Z W N 0 a W 9 u M S 9 D b 2 9 s a W 5 n L 0 N o Y W 5 n Z W Q g V H l w Z S 5 7 N j A w Y S w x f S Z x d W 9 0 O y w m c X V v d D t T Z W N 0 a W 9 u M S 9 D b 2 9 s a W 5 n L 0 N o Y W 5 n Z W Q g V H l w Z S 5 7 M T M 0 Y S w y f S Z x d W 9 0 O y w m c X V v d D t T Z W N 0 a W 9 u M S 9 D b 2 9 s a W 5 n L 0 N o Y W 5 n Z W Q g V H l w Z S 5 7 V W 5 p d C w z f S Z x d W 9 0 O 1 0 s J n F 1 b 3 Q 7 U m V s Y X R p b 2 5 z a G l w S W 5 m b y Z x d W 9 0 O z p b X X 0 i I C 8 + P C 9 T d G F i b G V F b n R y a W V z P j w v S X R l b T 4 8 S X R l b T 4 8 S X R l b U x v Y 2 F 0 a W 9 u P j x J d G V t V H l w Z T 5 G b 3 J t d W x h P C 9 J d G V t V H l w Z T 4 8 S X R l b V B h d G g + U 2 V j d G l v b j E v Q 2 9 v b G l u Z y 9 T b 3 V y Y 2 U 8 L 0 l 0 Z W 1 Q Y X R o P j w v S X R l b U x v Y 2 F 0 a W 9 u P j x T d G F i b G V F b n R y a W V z I C 8 + P C 9 J d G V t P j x J d G V t P j x J d G V t T G 9 j Y X R p b 2 4 + P E l 0 Z W 1 U e X B l P k Z v c m 1 1 b G E 8 L 0 l 0 Z W 1 U e X B l P j x J d G V t U G F 0 a D 5 T Z W N 0 a W 9 u M S 9 D b 2 9 s a W 5 n L 0 N v b 2 x p b m d f U 2 h l Z X Q 8 L 0 l 0 Z W 1 Q Y X R o P j w v S X R l b U x v Y 2 F 0 a W 9 u P j x T d G F i b G V F b n R y a W V z I C 8 + P C 9 J d G V t P j x J d G V t P j x J d G V t T G 9 j Y X R p b 2 4 + P E l 0 Z W 1 U e X B l P k Z v c m 1 1 b G E 8 L 0 l 0 Z W 1 U e X B l P j x J d G V t U G F 0 a D 5 T Z W N 0 a W 9 u M S 9 D b 2 9 s a W 5 n L 1 B y b 2 1 v d G V k J T I w S G V h Z G V y c z w v S X R l b V B h d G g + P C 9 J d G V t T G 9 j Y X R p b 2 4 + P F N 0 Y W J s Z U V u d H J p Z X M g L z 4 8 L 0 l 0 Z W 0 + P E l 0 Z W 0 + P E l 0 Z W 1 M b 2 N h d G l v b j 4 8 S X R l b V R 5 c G U + R m 9 y b X V s Y T w v S X R l b V R 5 c G U + P E l 0 Z W 1 Q Y X R o P l N l Y 3 R p b 2 4 x L 0 N v b 2 x p b m c v Q 2 h h b m d l Z C U y M F R 5 c G U 8 L 0 l 0 Z W 1 Q Y X R o P j w v S X R l b U x v Y 2 F 0 a W 9 u P j x T d G F i b G V F b n R y a W V z I C 8 + P C 9 J d G V t P j x J d G V t P j x J d G V t T G 9 j Y X R p b 2 4 + P E l 0 Z W 1 U e X B l P k Z v c m 1 1 b G E 8 L 0 l 0 Z W 1 U e X B l P j x J d G V t U G F 0 a D 5 T Z W N 0 a W 9 u M S 9 E b 2 9 y c z w v S X R l b V B h d G g + P C 9 J d G V t T G 9 j Y X R p b 2 4 + P F N 0 Y W J s Z U V u d H J p Z X M + P E V u d H J 5 I F R 5 c G U 9 I k l z U H J p d m F 0 Z S I g V m F s d W U 9 I m w w I i A v P j x F b n R y e S B U e X B l P S J R d W V y e U l E I i B W Y W x 1 Z T 0 i c z I w O T c 4 O W Y 2 L T I 5 M m E t N D U x M y 0 5 N 2 I x L T l l M G Z j N z h l Y m M 2 N y 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R m l s b G V k Q 2 9 t c G x l d G V S Z X N 1 b H R U b 1 d v c m t z a G V l d C I g V m F s d W U 9 I m w w I i A v P j x F b n R y e S B U e X B l P S J B Z G R l Z F R v R G F 0 Y U 1 v Z G V s I i B W Y W x 1 Z T 0 i b D E i I C 8 + P E V u d H J 5 I F R 5 c G U 9 I k Z p b G x D b 3 V u d C I g V m F s d W U 9 I m w 1 M y I g L z 4 8 R W 5 0 c n k g V H l w Z T 0 i R m l s b E V y c m 9 y Q 2 9 k Z S I g V m F s d W U 9 I n N V b m t u b 3 d u I i A v P j x F b n R y e S B U e X B l P S J G a W x s R X J y b 3 J D b 3 V u d C I g V m F s d W U 9 I m w w I i A v P j x F b n R y e S B U e X B l P S J G a W x s T G F z d F V w Z G F 0 Z W Q i I F Z h b H V l P S J k M j A y N C 0 w N y 0 y O V Q w O D o 0 O D o 1 N C 4 0 O T Q x O D Y 5 W i I g L z 4 8 R W 5 0 c n k g V H l w Z T 0 i R m l s b E N v b H V t b l R 5 c G V z I i B W Y W x 1 Z T 0 i c 0 J n Q U F C Z 1 l B Q m d B R 0 F B W U F C U V V B Q U F B Q U F B Q T 0 i I C 8 + P E V u d H J 5 I F R 5 c G U 9 I k Z p b G x D b 2 x 1 b W 5 O Y W 1 l c y I g V m F s d W U 9 I n N b J n F 1 b 3 Q 7 U 3 R l Z W w g Z G 9 v c i B 3 a X R o I D Q 1 b W 0 g Y 2 F y Z G J v Y X J k I G l u c 3 V s Y X R p b 2 4 m c X V v d D s s J n F 1 b 3 Q 7 Q 2 9 s d W 1 u M i Z x d W 9 0 O y w m c X V v d D t D b 2 x 1 b W 4 z J n F 1 b 3 Q 7 L C Z x d W 9 0 O 0 N v b H V t b j Q m c X V v d D s s J n F 1 b 3 Q 7 U G F w Z X I g a W 5 z d W x h d G l v b i A 0 N W 1 t J n F 1 b 3 Q 7 L C Z x d W 9 0 O 0 N v b H V t b j Y m c X V v d D s s J n F 1 b 3 Q 7 Q 2 9 s d W 1 u N y Z x d W 9 0 O y w m c X V v d D t D b 2 x 1 b W 4 4 J n F 1 b 3 Q 7 L C Z x d W 9 0 O 1 N 0 Z W V s I G R v b 3 I g d 2 l 0 a G 9 1 d C B p b n N 1 b G F 0 a W 9 u I C g y M D I w I H g g O D Q 1 K S Z x d W 9 0 O y w m c X V v d D t D b 2 x 1 b W 4 x M C Z x d W 9 0 O y w m c X V v d D t D b 2 x 1 b W 4 x M S Z x d W 9 0 O y w m c X V v d D t D b 2 x 1 b W 4 x M i Z x d W 9 0 O y w m c X V v d D t T d H J h d y A y N D A w I H g g M j Q w M C B 4 I D F t b S Z x d W 9 0 O y w m c X V v d D t F U F M g M j Q w M H g y N D A w e D F t b S Z x d W 9 0 O y w m c X V v d D t T d H J h d y B h d C B z a X p l I G l u I E 1 h a W 4 m c X V v d D s s J n F 1 b 3 Q 7 U G F w Z X I g Y X Q g c 2 l 6 Z S B p b i B N Y W l u J n F 1 b 3 Q 7 L C Z x d W 9 0 O 1 N 0 Z W V s I G x l Y W Y g Y X Q g c 2 l 6 Z S B p b i B N Y W l u J n F 1 b 3 Q 7 L C Z x d W 9 0 O 0 N v b H V t b j E 4 J n F 1 b 3 Q 7 L C Z x d W 9 0 O 1 B s Y X N 0 a W M g Z W N v Y m 9 h c m Q g Y X Q g c 2 l 6 Z S B p b i B N Y W l u J n F 1 b 3 Q 7 L C Z x d W 9 0 O 1 R p b W J l c i B l Y 2 9 i b 2 F y Z C B h d C B z a X p l I G l u I E 1 h a W 4 m c X V v d D t d I i A v P j x F b n R y e S B U e X B l P S J G a W x s U 3 R h d H V z I i B W Y W x 1 Z T 0 i c 0 N v b X B s Z X R l I i A v P j x F b n R y e S B U e X B l P S J S Z W x h d G l v b n N o a X B J b m Z v Q 2 9 u d G F p b m V y I i B W Y W x 1 Z T 0 i c 3 s m c X V v d D t j b 2 x 1 b W 5 D b 3 V u d C Z x d W 9 0 O z o y M C w m c X V v d D t r Z X l D b 2 x 1 b W 5 O Y W 1 l c y Z x d W 9 0 O z p b X S w m c X V v d D t x d W V y e V J l b G F 0 a W 9 u c 2 h p c H M m c X V v d D s 6 W 1 0 s J n F 1 b 3 Q 7 Y 2 9 s d W 1 u S W R l b n R p d G l l c y Z x d W 9 0 O z p b J n F 1 b 3 Q 7 U 2 V j d G l v b j E v R G 9 v c n M v Q 2 h h b m d l Z C B U e X B l L n t T d G V l b C B k b 2 9 y I H d p d G g g N D V t b S B j Y X J k Y m 9 h c m Q g a W 5 z d W x h d G l v b i w w f S Z x d W 9 0 O y w m c X V v d D t T Z W N 0 a W 9 u M S 9 E b 2 9 y c y 9 D a G F u Z 2 V k I F R 5 c G U u e 0 N v b H V t b j I s M X 0 m c X V v d D s s J n F 1 b 3 Q 7 U 2 V j d G l v b j E v R G 9 v c n M v Q 2 h h b m d l Z C B U e X B l L n t D b 2 x 1 b W 4 z L D J 9 J n F 1 b 3 Q 7 L C Z x d W 9 0 O 1 N l Y 3 R p b 2 4 x L 0 R v b 3 J z L 0 N o Y W 5 n Z W Q g V H l w Z S 5 7 Q 2 9 s d W 1 u N C w z f S Z x d W 9 0 O y w m c X V v d D t T Z W N 0 a W 9 u M S 9 E b 2 9 y c y 9 D a G F u Z 2 V k I F R 5 c G U u e 1 B h c G V y I G l u c 3 V s Y X R p b 2 4 g N D V t b S w 0 f S Z x d W 9 0 O y w m c X V v d D t T Z W N 0 a W 9 u M S 9 E b 2 9 y c y 9 D a G F u Z 2 V k I F R 5 c G U u e 0 N v b H V t b j Y s N X 0 m c X V v d D s s J n F 1 b 3 Q 7 U 2 V j d G l v b j E v R G 9 v c n M v Q 2 h h b m d l Z C B U e X B l L n t D b 2 x 1 b W 4 3 L D Z 9 J n F 1 b 3 Q 7 L C Z x d W 9 0 O 1 N l Y 3 R p b 2 4 x L 0 R v b 3 J z L 0 N o Y W 5 n Z W Q g V H l w Z S 5 7 Q 2 9 s d W 1 u O C w 3 f S Z x d W 9 0 O y w m c X V v d D t T Z W N 0 a W 9 u M S 9 E b 2 9 y c y 9 D a G F u Z 2 V k I F R 5 c G U u e 1 N 0 Z W V s I G R v b 3 I g d 2 l 0 a G 9 1 d C B p b n N 1 b G F 0 a W 9 u I C g y M D I w I H g g O D Q 1 K S w 4 f S Z x d W 9 0 O y w m c X V v d D t T Z W N 0 a W 9 u M S 9 E b 2 9 y c y 9 D a G F u Z 2 V k I F R 5 c G U u e 0 N v b H V t b j E w L D l 9 J n F 1 b 3 Q 7 L C Z x d W 9 0 O 1 N l Y 3 R p b 2 4 x L 0 R v b 3 J z L 0 N o Y W 5 n Z W Q g V H l w Z S 5 7 Q 2 9 s d W 1 u M T E s M T B 9 J n F 1 b 3 Q 7 L C Z x d W 9 0 O 1 N l Y 3 R p b 2 4 x L 0 R v b 3 J z L 0 N o Y W 5 n Z W Q g V H l w Z S 5 7 Q 2 9 s d W 1 u M T I s M T F 9 J n F 1 b 3 Q 7 L C Z x d W 9 0 O 1 N l Y 3 R p b 2 4 x L 0 R v b 3 J z L 0 N o Y W 5 n Z W Q g V H l w Z S 5 7 U 3 R y Y X c g M j Q w M C B 4 I D I 0 M D A g e C A x b W 0 s M T J 9 J n F 1 b 3 Q 7 L C Z x d W 9 0 O 1 N l Y 3 R p b 2 4 x L 0 R v b 3 J z L 0 N o Y W 5 n Z W Q g V H l w Z S 5 7 R V B T I D I 0 M D B 4 M j Q w M H g x b W 0 s M T N 9 J n F 1 b 3 Q 7 L C Z x d W 9 0 O 1 N l Y 3 R p b 2 4 x L 0 R v b 3 J z L 0 N o Y W 5 n Z W Q g V H l w Z S 5 7 U 3 R y Y X c g Y X Q g c 2 l 6 Z S B p b i B N Y W l u L D E 0 f S Z x d W 9 0 O y w m c X V v d D t T Z W N 0 a W 9 u M S 9 E b 2 9 y c y 9 D a G F u Z 2 V k I F R 5 c G U u e 1 B h c G V y I G F 0 I H N p e m U g a W 4 g T W F p b i w x N X 0 m c X V v d D s s J n F 1 b 3 Q 7 U 2 V j d G l v b j E v R G 9 v c n M v Q 2 h h b m d l Z C B U e X B l L n t T d G V l b C B s Z W F m I G F 0 I H N p e m U g a W 4 g T W F p b i w x N n 0 m c X V v d D s s J n F 1 b 3 Q 7 U 2 V j d G l v b j E v R G 9 v c n M v Q 2 h h b m d l Z C B U e X B l L n t D b 2 x 1 b W 4 x O C w x N 3 0 m c X V v d D s s J n F 1 b 3 Q 7 U 2 V j d G l v b j E v R G 9 v c n M v Q 2 h h b m d l Z C B U e X B l L n t Q b G F z d G l j I G V j b 2 J v Y X J k I G F 0 I H N p e m U g a W 4 g T W F p b i w x O H 0 m c X V v d D s s J n F 1 b 3 Q 7 U 2 V j d G l v b j E v R G 9 v c n M v Q 2 h h b m d l Z C B U e X B l L n t U a W 1 i Z X I g Z W N v Y m 9 h c m Q g Y X Q g c 2 l 6 Z S B p b i B N Y W l u L D E 5 f S Z x d W 9 0 O 1 0 s J n F 1 b 3 Q 7 Q 2 9 s d W 1 u Q 2 9 1 b n Q m c X V v d D s 6 M j A s J n F 1 b 3 Q 7 S 2 V 5 Q 2 9 s d W 1 u T m F t Z X M m c X V v d D s 6 W 1 0 s J n F 1 b 3 Q 7 Q 2 9 s d W 1 u S W R l b n R p d G l l c y Z x d W 9 0 O z p b J n F 1 b 3 Q 7 U 2 V j d G l v b j E v R G 9 v c n M v Q 2 h h b m d l Z C B U e X B l L n t T d G V l b C B k b 2 9 y I H d p d G g g N D V t b S B j Y X J k Y m 9 h c m Q g a W 5 z d W x h d G l v b i w w f S Z x d W 9 0 O y w m c X V v d D t T Z W N 0 a W 9 u M S 9 E b 2 9 y c y 9 D a G F u Z 2 V k I F R 5 c G U u e 0 N v b H V t b j I s M X 0 m c X V v d D s s J n F 1 b 3 Q 7 U 2 V j d G l v b j E v R G 9 v c n M v Q 2 h h b m d l Z C B U e X B l L n t D b 2 x 1 b W 4 z L D J 9 J n F 1 b 3 Q 7 L C Z x d W 9 0 O 1 N l Y 3 R p b 2 4 x L 0 R v b 3 J z L 0 N o Y W 5 n Z W Q g V H l w Z S 5 7 Q 2 9 s d W 1 u N C w z f S Z x d W 9 0 O y w m c X V v d D t T Z W N 0 a W 9 u M S 9 E b 2 9 y c y 9 D a G F u Z 2 V k I F R 5 c G U u e 1 B h c G V y I G l u c 3 V s Y X R p b 2 4 g N D V t b S w 0 f S Z x d W 9 0 O y w m c X V v d D t T Z W N 0 a W 9 u M S 9 E b 2 9 y c y 9 D a G F u Z 2 V k I F R 5 c G U u e 0 N v b H V t b j Y s N X 0 m c X V v d D s s J n F 1 b 3 Q 7 U 2 V j d G l v b j E v R G 9 v c n M v Q 2 h h b m d l Z C B U e X B l L n t D b 2 x 1 b W 4 3 L D Z 9 J n F 1 b 3 Q 7 L C Z x d W 9 0 O 1 N l Y 3 R p b 2 4 x L 0 R v b 3 J z L 0 N o Y W 5 n Z W Q g V H l w Z S 5 7 Q 2 9 s d W 1 u O C w 3 f S Z x d W 9 0 O y w m c X V v d D t T Z W N 0 a W 9 u M S 9 E b 2 9 y c y 9 D a G F u Z 2 V k I F R 5 c G U u e 1 N 0 Z W V s I G R v b 3 I g d 2 l 0 a G 9 1 d C B p b n N 1 b G F 0 a W 9 u I C g y M D I w I H g g O D Q 1 K S w 4 f S Z x d W 9 0 O y w m c X V v d D t T Z W N 0 a W 9 u M S 9 E b 2 9 y c y 9 D a G F u Z 2 V k I F R 5 c G U u e 0 N v b H V t b j E w L D l 9 J n F 1 b 3 Q 7 L C Z x d W 9 0 O 1 N l Y 3 R p b 2 4 x L 0 R v b 3 J z L 0 N o Y W 5 n Z W Q g V H l w Z S 5 7 Q 2 9 s d W 1 u M T E s M T B 9 J n F 1 b 3 Q 7 L C Z x d W 9 0 O 1 N l Y 3 R p b 2 4 x L 0 R v b 3 J z L 0 N o Y W 5 n Z W Q g V H l w Z S 5 7 Q 2 9 s d W 1 u M T I s M T F 9 J n F 1 b 3 Q 7 L C Z x d W 9 0 O 1 N l Y 3 R p b 2 4 x L 0 R v b 3 J z L 0 N o Y W 5 n Z W Q g V H l w Z S 5 7 U 3 R y Y X c g M j Q w M C B 4 I D I 0 M D A g e C A x b W 0 s M T J 9 J n F 1 b 3 Q 7 L C Z x d W 9 0 O 1 N l Y 3 R p b 2 4 x L 0 R v b 3 J z L 0 N o Y W 5 n Z W Q g V H l w Z S 5 7 R V B T I D I 0 M D B 4 M j Q w M H g x b W 0 s M T N 9 J n F 1 b 3 Q 7 L C Z x d W 9 0 O 1 N l Y 3 R p b 2 4 x L 0 R v b 3 J z L 0 N o Y W 5 n Z W Q g V H l w Z S 5 7 U 3 R y Y X c g Y X Q g c 2 l 6 Z S B p b i B N Y W l u L D E 0 f S Z x d W 9 0 O y w m c X V v d D t T Z W N 0 a W 9 u M S 9 E b 2 9 y c y 9 D a G F u Z 2 V k I F R 5 c G U u e 1 B h c G V y I G F 0 I H N p e m U g a W 4 g T W F p b i w x N X 0 m c X V v d D s s J n F 1 b 3 Q 7 U 2 V j d G l v b j E v R G 9 v c n M v Q 2 h h b m d l Z C B U e X B l L n t T d G V l b C B s Z W F m I G F 0 I H N p e m U g a W 4 g T W F p b i w x N n 0 m c X V v d D s s J n F 1 b 3 Q 7 U 2 V j d G l v b j E v R G 9 v c n M v Q 2 h h b m d l Z C B U e X B l L n t D b 2 x 1 b W 4 x O C w x N 3 0 m c X V v d D s s J n F 1 b 3 Q 7 U 2 V j d G l v b j E v R G 9 v c n M v Q 2 h h b m d l Z C B U e X B l L n t Q b G F z d G l j I G V j b 2 J v Y X J k I G F 0 I H N p e m U g a W 4 g T W F p b i w x O H 0 m c X V v d D s s J n F 1 b 3 Q 7 U 2 V j d G l v b j E v R G 9 v c n M v Q 2 h h b m d l Z C B U e X B l L n t U a W 1 i Z X I g Z W N v Y m 9 h c m Q g Y X Q g c 2 l 6 Z S B p b i B N Y W l u L D E 5 f S Z x d W 9 0 O 1 0 s J n F 1 b 3 Q 7 U m V s Y X R p b 2 5 z a G l w S W 5 m b y Z x d W 9 0 O z p b X X 0 i I C 8 + P C 9 T d G F i b G V F b n R y a W V z P j w v S X R l b T 4 8 S X R l b T 4 8 S X R l b U x v Y 2 F 0 a W 9 u P j x J d G V t V H l w Z T 5 G b 3 J t d W x h P C 9 J d G V t V H l w Z T 4 8 S X R l b V B h d G g + U 2 V j d G l v b j E v R G 9 v c n M v U 2 9 1 c m N l P C 9 J d G V t U G F 0 a D 4 8 L 0 l 0 Z W 1 M b 2 N h d G l v b j 4 8 U 3 R h Y m x l R W 5 0 c m l l c y A v P j w v S X R l b T 4 8 S X R l b T 4 8 S X R l b U x v Y 2 F 0 a W 9 u P j x J d G V t V H l w Z T 5 G b 3 J t d W x h P C 9 J d G V t V H l w Z T 4 8 S X R l b V B h d G g + U 2 V j d G l v b j E v R G 9 v c n M v R G 9 v c n N f U 2 h l Z X Q 8 L 0 l 0 Z W 1 Q Y X R o P j w v S X R l b U x v Y 2 F 0 a W 9 u P j x T d G F i b G V F b n R y a W V z I C 8 + P C 9 J d G V t P j x J d G V t P j x J d G V t T G 9 j Y X R p b 2 4 + P E l 0 Z W 1 U e X B l P k Z v c m 1 1 b G E 8 L 0 l 0 Z W 1 U e X B l P j x J d G V t U G F 0 a D 5 T Z W N 0 a W 9 u M S 9 E b 2 9 y c y 9 Q c m 9 t b 3 R l Z C U y M E h l Y W R l c n M 8 L 0 l 0 Z W 1 Q Y X R o P j w v S X R l b U x v Y 2 F 0 a W 9 u P j x T d G F i b G V F b n R y a W V z I C 8 + P C 9 J d G V t P j x J d G V t P j x J d G V t T G 9 j Y X R p b 2 4 + P E l 0 Z W 1 U e X B l P k Z v c m 1 1 b G E 8 L 0 l 0 Z W 1 U e X B l P j x J d G V t U G F 0 a D 5 T Z W N 0 a W 9 u M S 9 E b 2 9 y c y 9 D a G F u Z 2 V k J T I w V H l w Z T w v S X R l b V B h d G g + P C 9 J d G V t T G 9 j Y X R p b 2 4 + P F N 0 Y W J s Z U V u d H J p Z X M g L z 4 8 L 0 l 0 Z W 0 + P E l 0 Z W 0 + P E l 0 Z W 1 M b 2 N h d G l v b j 4 8 S X R l b V R 5 c G U + R m 9 y b X V s Y T w v S X R l b V R 5 c G U + P E l 0 Z W 1 Q Y X R o P l N l Y 3 R p b 2 4 x L 0 V j b 2 J v Y X J k c z w v S X R l b V B h d G g + P C 9 J d G V t T G 9 j Y X R p b 2 4 + P F N 0 Y W J s Z U V u d H J p Z X M + P E V u d H J 5 I F R 5 c G U 9 I k l z U H J p d m F 0 Z S I g V m F s d W U 9 I m w w I i A v P j x F b n R y e S B U e X B l P S J R d W V y e U l E I i B W Y W x 1 Z T 0 i c z k w N z h k M 2 E 4 L T I 1 M T c t N G Y z N i 0 5 M j h j L T V j Y T E w Y T Y 3 Y 2 Y 4 N C 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R m l s b G V k Q 2 9 t c G x l d G V S Z X N 1 b H R U b 1 d v c m t z a G V l d C I g V m F s d W U 9 I m w w I i A v P j x F b n R y e S B U e X B l P S J B Z G R l Z F R v R G F 0 Y U 1 v Z G V s I i B W Y W x 1 Z T 0 i b D E i I C 8 + P E V u d H J 5 I F R 5 c G U 9 I k Z p b G x D b 3 V u d C I g V m F s d W U 9 I m w 0 M S I g L z 4 8 R W 5 0 c n k g V H l w Z T 0 i R m l s b E V y c m 9 y Q 2 9 k Z S I g V m F s d W U 9 I n N V b m t u b 3 d u I i A v P j x F b n R y e S B U e X B l P S J G a W x s R X J y b 3 J D b 3 V u d C I g V m F s d W U 9 I m w w I i A v P j x F b n R y e S B U e X B l P S J G a W x s T G F z d F V w Z G F 0 Z W Q i I F Z h b H V l P S J k M j A y N C 0 w N y 0 y O V Q w O D o 0 O D o 1 N C 4 0 O T g x N z M 5 W i I g L z 4 8 R W 5 0 c n k g V H l w Z T 0 i R m l s b E N v b H V t b l R 5 c G V z I i B W Y W x 1 Z T 0 i c 0 J n V U Z B Q U 1 B Q m d B Q U J n Q U F B Q U F B Q U E 9 P S I g L z 4 8 R W 5 0 c n k g V H l w Z T 0 i R m l s b E N v b H V t b k 5 h b W V z I i B W Y W x 1 Z T 0 i c 1 s m c X V v d D t U e X B l J n F 1 b 3 Q 7 L C Z x d W 9 0 O 0 N y Y W R s Z S B 0 b y B n Y X R l J n F 1 b 3 Q 7 L C Z x d W 9 0 O 0 N y Y W R s Z S B 0 b y B n c m F 2 Z S Z x d W 9 0 O y w m c X V v d D t U b 3 R h b C Z x d W 9 0 O y w m c X V v d D t E Z W 5 z a X R 5 J n F 1 b 3 Q 7 L C Z x d W 9 0 O 0 N v b H V t b j Y m c X V v d D s s J n F 1 b 3 Q 7 U G x h c 3 R p Y y B l Y 2 9 i b 2 F y Z C B w Z X I g a 2 c g K E F Q U F J P W C A t I G 9 u b H k g a W 5 j b H V k Z X M g Y 2 9 s b G V j d G l v b i B v Z i B z b 2 1 l I H B s Y X N 0 a W M g Y W 5 k I G N h b G V u Z G V y a W 5 n K S Z x d W 9 0 O y w m c X V v d D t Q b G F z d G l j J n F 1 b 3 Q 7 L C Z x d W 9 0 O 1 R p b W J l c i Z x d W 9 0 O y w m c X V v d D t V b m l 0 J n F 1 b 3 Q 7 L C Z x d W 9 0 O 0 N v b H V t b j E x J n F 1 b 3 Q 7 L C Z x d W 9 0 O 0 N v b H V t b j E y J n F 1 b 3 Q 7 L C Z x d W 9 0 O 0 N v b H V t b j E z J n F 1 b 3 Q 7 L C Z x d W 9 0 O 0 N v b H V t b j E 0 J n F 1 b 3 Q 7 L C Z x d W 9 0 O 0 N v b H V t b j E 1 J n F 1 b 3 Q 7 L C Z x d W 9 0 O 0 N v b H V t b j E 2 J n F 1 b 3 Q 7 X S I g L z 4 8 R W 5 0 c n k g V H l w Z T 0 i R m l s b F N 0 Y X R 1 c y I g V m F s d W U 9 I n N D b 2 1 w b G V 0 Z S I g L z 4 8 R W 5 0 c n k g V H l w Z T 0 i U m V s Y X R p b 2 5 z a G l w S W 5 m b 0 N v b n R h a W 5 l c i I g V m F s d W U 9 I n N 7 J n F 1 b 3 Q 7 Y 2 9 s d W 1 u Q 2 9 1 b n Q m c X V v d D s 6 M T Y s J n F 1 b 3 Q 7 a 2 V 5 Q 2 9 s d W 1 u T m F t Z X M m c X V v d D s 6 W 1 0 s J n F 1 b 3 Q 7 c X V l c n l S Z W x h d G l v b n N o a X B z J n F 1 b 3 Q 7 O l t d L C Z x d W 9 0 O 2 N v b H V t b k l k Z W 5 0 a X R p Z X M m c X V v d D s 6 W y Z x d W 9 0 O 1 N l Y 3 R p b 2 4 x L 0 V j b 2 J v Y X J k c y 9 D a G F u Z 2 V k I F R 5 c G U u e 1 R 5 c G U s M H 0 m c X V v d D s s J n F 1 b 3 Q 7 U 2 V j d G l v b j E v R W N v Y m 9 h c m R z L 0 N o Y W 5 n Z W Q g V H l w Z S 5 7 Q 3 J h Z G x l I H R v I G d h d G U s M X 0 m c X V v d D s s J n F 1 b 3 Q 7 U 2 V j d G l v b j E v R W N v Y m 9 h c m R z L 0 N o Y W 5 n Z W Q g V H l w Z S 5 7 Q 3 J h Z G x l I H R v I G d y Y X Z l L D J 9 J n F 1 b 3 Q 7 L C Z x d W 9 0 O 1 N l Y 3 R p b 2 4 x L 0 V j b 2 J v Y X J k c y 9 D a G F u Z 2 V k I F R 5 c G U u e 1 R v d G F s L D N 9 J n F 1 b 3 Q 7 L C Z x d W 9 0 O 1 N l Y 3 R p b 2 4 x L 0 V j b 2 J v Y X J k c y 9 D a G F u Z 2 V k I F R 5 c G U u e 0 R l b n N p d H k s N H 0 m c X V v d D s s J n F 1 b 3 Q 7 U 2 V j d G l v b j E v R W N v Y m 9 h c m R z L 0 N o Y W 5 n Z W Q g V H l w Z S 5 7 Q 2 9 s d W 1 u N i w 1 f S Z x d W 9 0 O y w m c X V v d D t T Z W N 0 a W 9 u M S 9 F Y 2 9 i b 2 F y Z H M v Q 2 h h b m d l Z C B U e X B l L n t Q b G F z d G l j I G V j b 2 J v Y X J k I H B l c i B r Z y A o Q V B Q U k 9 Y I C 0 g b 2 5 s e S B p b m N s d W R l c y B j b 2 x s Z W N 0 a W 9 u I G 9 m I H N v b W U g c G x h c 3 R p Y y B h b m Q g Y 2 F s Z W 5 k Z X J p b m c p L D Z 9 J n F 1 b 3 Q 7 L C Z x d W 9 0 O 1 N l Y 3 R p b 2 4 x L 0 V j b 2 J v Y X J k c y 9 D a G F u Z 2 V k I F R 5 c G U u e 1 B s Y X N 0 a W M s N 3 0 m c X V v d D s s J n F 1 b 3 Q 7 U 2 V j d G l v b j E v R W N v Y m 9 h c m R z L 0 N o Y W 5 n Z W Q g V H l w Z S 5 7 V G l t Y m V y L D h 9 J n F 1 b 3 Q 7 L C Z x d W 9 0 O 1 N l Y 3 R p b 2 4 x L 0 V j b 2 J v Y X J k c y 9 D a G F u Z 2 V k I F R 5 c G U u e 1 V u a X Q s O X 0 m c X V v d D s s J n F 1 b 3 Q 7 U 2 V j d G l v b j E v R W N v Y m 9 h c m R z L 0 N o Y W 5 n Z W Q g V H l w Z S 5 7 Q 2 9 s d W 1 u M T E s M T B 9 J n F 1 b 3 Q 7 L C Z x d W 9 0 O 1 N l Y 3 R p b 2 4 x L 0 V j b 2 J v Y X J k c y 9 D a G F u Z 2 V k I F R 5 c G U u e 0 N v b H V t b j E y L D E x f S Z x d W 9 0 O y w m c X V v d D t T Z W N 0 a W 9 u M S 9 F Y 2 9 i b 2 F y Z H M v Q 2 h h b m d l Z C B U e X B l L n t D b 2 x 1 b W 4 x M y w x M n 0 m c X V v d D s s J n F 1 b 3 Q 7 U 2 V j d G l v b j E v R W N v Y m 9 h c m R z L 0 N o Y W 5 n Z W Q g V H l w Z S 5 7 Q 2 9 s d W 1 u M T Q s M T N 9 J n F 1 b 3 Q 7 L C Z x d W 9 0 O 1 N l Y 3 R p b 2 4 x L 0 V j b 2 J v Y X J k c y 9 D a G F u Z 2 V k I F R 5 c G U u e 0 N v b H V t b j E 1 L D E 0 f S Z x d W 9 0 O y w m c X V v d D t T Z W N 0 a W 9 u M S 9 F Y 2 9 i b 2 F y Z H M v Q 2 h h b m d l Z C B U e X B l L n t D b 2 x 1 b W 4 x N i w x N X 0 m c X V v d D t d L C Z x d W 9 0 O 0 N v b H V t b k N v d W 5 0 J n F 1 b 3 Q 7 O j E 2 L C Z x d W 9 0 O 0 t l e U N v b H V t b k 5 h b W V z J n F 1 b 3 Q 7 O l t d L C Z x d W 9 0 O 0 N v b H V t b k l k Z W 5 0 a X R p Z X M m c X V v d D s 6 W y Z x d W 9 0 O 1 N l Y 3 R p b 2 4 x L 0 V j b 2 J v Y X J k c y 9 D a G F u Z 2 V k I F R 5 c G U u e 1 R 5 c G U s M H 0 m c X V v d D s s J n F 1 b 3 Q 7 U 2 V j d G l v b j E v R W N v Y m 9 h c m R z L 0 N o Y W 5 n Z W Q g V H l w Z S 5 7 Q 3 J h Z G x l I H R v I G d h d G U s M X 0 m c X V v d D s s J n F 1 b 3 Q 7 U 2 V j d G l v b j E v R W N v Y m 9 h c m R z L 0 N o Y W 5 n Z W Q g V H l w Z S 5 7 Q 3 J h Z G x l I H R v I G d y Y X Z l L D J 9 J n F 1 b 3 Q 7 L C Z x d W 9 0 O 1 N l Y 3 R p b 2 4 x L 0 V j b 2 J v Y X J k c y 9 D a G F u Z 2 V k I F R 5 c G U u e 1 R v d G F s L D N 9 J n F 1 b 3 Q 7 L C Z x d W 9 0 O 1 N l Y 3 R p b 2 4 x L 0 V j b 2 J v Y X J k c y 9 D a G F u Z 2 V k I F R 5 c G U u e 0 R l b n N p d H k s N H 0 m c X V v d D s s J n F 1 b 3 Q 7 U 2 V j d G l v b j E v R W N v Y m 9 h c m R z L 0 N o Y W 5 n Z W Q g V H l w Z S 5 7 Q 2 9 s d W 1 u N i w 1 f S Z x d W 9 0 O y w m c X V v d D t T Z W N 0 a W 9 u M S 9 F Y 2 9 i b 2 F y Z H M v Q 2 h h b m d l Z C B U e X B l L n t Q b G F z d G l j I G V j b 2 J v Y X J k I H B l c i B r Z y A o Q V B Q U k 9 Y I C 0 g b 2 5 s e S B p b m N s d W R l c y B j b 2 x s Z W N 0 a W 9 u I G 9 m I H N v b W U g c G x h c 3 R p Y y B h b m Q g Y 2 F s Z W 5 k Z X J p b m c p L D Z 9 J n F 1 b 3 Q 7 L C Z x d W 9 0 O 1 N l Y 3 R p b 2 4 x L 0 V j b 2 J v Y X J k c y 9 D a G F u Z 2 V k I F R 5 c G U u e 1 B s Y X N 0 a W M s N 3 0 m c X V v d D s s J n F 1 b 3 Q 7 U 2 V j d G l v b j E v R W N v Y m 9 h c m R z L 0 N o Y W 5 n Z W Q g V H l w Z S 5 7 V G l t Y m V y L D h 9 J n F 1 b 3 Q 7 L C Z x d W 9 0 O 1 N l Y 3 R p b 2 4 x L 0 V j b 2 J v Y X J k c y 9 D a G F u Z 2 V k I F R 5 c G U u e 1 V u a X Q s O X 0 m c X V v d D s s J n F 1 b 3 Q 7 U 2 V j d G l v b j E v R W N v Y m 9 h c m R z L 0 N o Y W 5 n Z W Q g V H l w Z S 5 7 Q 2 9 s d W 1 u M T E s M T B 9 J n F 1 b 3 Q 7 L C Z x d W 9 0 O 1 N l Y 3 R p b 2 4 x L 0 V j b 2 J v Y X J k c y 9 D a G F u Z 2 V k I F R 5 c G U u e 0 N v b H V t b j E y L D E x f S Z x d W 9 0 O y w m c X V v d D t T Z W N 0 a W 9 u M S 9 F Y 2 9 i b 2 F y Z H M v Q 2 h h b m d l Z C B U e X B l L n t D b 2 x 1 b W 4 x M y w x M n 0 m c X V v d D s s J n F 1 b 3 Q 7 U 2 V j d G l v b j E v R W N v Y m 9 h c m R z L 0 N o Y W 5 n Z W Q g V H l w Z S 5 7 Q 2 9 s d W 1 u M T Q s M T N 9 J n F 1 b 3 Q 7 L C Z x d W 9 0 O 1 N l Y 3 R p b 2 4 x L 0 V j b 2 J v Y X J k c y 9 D a G F u Z 2 V k I F R 5 c G U u e 0 N v b H V t b j E 1 L D E 0 f S Z x d W 9 0 O y w m c X V v d D t T Z W N 0 a W 9 u M S 9 F Y 2 9 i b 2 F y Z H M v Q 2 h h b m d l Z C B U e X B l L n t D b 2 x 1 b W 4 x N i w x N X 0 m c X V v d D t d L C Z x d W 9 0 O 1 J l b G F 0 a W 9 u c 2 h p c E l u Z m 8 m c X V v d D s 6 W 1 1 9 I i A v P j w v U 3 R h Y m x l R W 5 0 c m l l c z 4 8 L 0 l 0 Z W 0 + P E l 0 Z W 0 + P E l 0 Z W 1 M b 2 N h d G l v b j 4 8 S X R l b V R 5 c G U + R m 9 y b X V s Y T w v S X R l b V R 5 c G U + P E l 0 Z W 1 Q Y X R o P l N l Y 3 R p b 2 4 x L 0 V j b 2 J v Y X J k c y 9 T b 3 V y Y 2 U 8 L 0 l 0 Z W 1 Q Y X R o P j w v S X R l b U x v Y 2 F 0 a W 9 u P j x T d G F i b G V F b n R y a W V z I C 8 + P C 9 J d G V t P j x J d G V t P j x J d G V t T G 9 j Y X R p b 2 4 + P E l 0 Z W 1 U e X B l P k Z v c m 1 1 b G E 8 L 0 l 0 Z W 1 U e X B l P j x J d G V t U G F 0 a D 5 T Z W N 0 a W 9 u M S 9 F Y 2 9 i b 2 F y Z H M v R W N v Y m 9 h c m R z X 1 N o Z W V 0 P C 9 J d G V t U G F 0 a D 4 8 L 0 l 0 Z W 1 M b 2 N h d G l v b j 4 8 U 3 R h Y m x l R W 5 0 c m l l c y A v P j w v S X R l b T 4 8 S X R l b T 4 8 S X R l b U x v Y 2 F 0 a W 9 u P j x J d G V t V H l w Z T 5 G b 3 J t d W x h P C 9 J d G V t V H l w Z T 4 8 S X R l b V B h d G g + U 2 V j d G l v b j E v R W N v Y m 9 h c m R z L 1 B y b 2 1 v d G V k J T I w S G V h Z G V y c z w v S X R l b V B h d G g + P C 9 J d G V t T G 9 j Y X R p b 2 4 + P F N 0 Y W J s Z U V u d H J p Z X M g L z 4 8 L 0 l 0 Z W 0 + P E l 0 Z W 0 + P E l 0 Z W 1 M b 2 N h d G l v b j 4 8 S X R l b V R 5 c G U + R m 9 y b X V s Y T w v S X R l b V R 5 c G U + P E l 0 Z W 1 Q Y X R o P l N l Y 3 R p b 2 4 x L 0 V j b 2 J v Y X J k c y 9 D a G F u Z 2 V k J T I w V H l w Z T w v S X R l b V B h d G g + P C 9 J d G V t T G 9 j Y X R p b 2 4 + P F N 0 Y W J s Z U V u d H J p Z X M g L z 4 8 L 0 l 0 Z W 0 + P E l 0 Z W 0 + P E l 0 Z W 1 M b 2 N h d G l v b j 4 8 S X R l b V R 5 c G U + R m 9 y b X V s Y T w v S X R l b V R 5 c G U + P E l 0 Z W 1 Q Y X R o P l N l Y 3 R p b 2 4 x L 2 Z p Z 3 V y Z X M l M j B m b 3 I l M j B w c m V z P C 9 J d G V t U G F 0 a D 4 8 L 0 l 0 Z W 1 M b 2 N h d G l v b j 4 8 U 3 R h Y m x l R W 5 0 c m l l c z 4 8 R W 5 0 c n k g V H l w Z T 0 i S X N Q c m l 2 Y X R l I i B W Y W x 1 Z T 0 i b D A i I C 8 + P E V u d H J 5 I F R 5 c G U 9 I l F 1 Z X J 5 S U Q i I F Z h b H V l P S J z M m Y 1 Y T M 4 M W M t O T V h M y 0 0 M T J i L T g 3 M D g t Z j c 1 O W N i N 2 Y z Y m F l 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O Y W 1 l V X B k Y X R l Z E F m d G V y R m l s b C I g V m F s d W U 9 I m w w I i A v P j x F b n R y e S B U e X B l P S J G a W x s Z W R D b 2 1 w b G V 0 Z V J l c 3 V s d F R v V 2 9 y a 3 N o Z W V 0 I i B W Y W x 1 Z T 0 i b D A i I C 8 + P E V u d H J 5 I F R 5 c G U 9 I k F k Z G V k V G 9 E Y X R h T W 9 k Z W w i I F Z h b H V l P S J s M S I g L z 4 8 R W 5 0 c n k g V H l w Z T 0 i R m l s b E N v d W 5 0 I i B W Y W x 1 Z T 0 i b D E y I i A v P j x F b n R y e S B U e X B l P S J G a W x s R X J y b 3 J D b 2 R l I i B W Y W x 1 Z T 0 i c 1 V u a 2 5 v d 2 4 i I C 8 + P E V u d H J 5 I F R 5 c G U 9 I k Z p b G x F c n J v c k N v d W 5 0 I i B W Y W x 1 Z T 0 i b D A i I C 8 + P E V u d H J 5 I F R 5 c G U 9 I k Z p b G x M Y X N 0 V X B k Y X R l Z C I g V m F s d W U 9 I m Q y M D I 0 L T A 3 L T I 5 V D A 4 O j Q 4 O j U 0 L j U w M z I z O D N a I i A v P j x F b n R y e S B U e X B l P S J G a W x s Q 2 9 s d W 1 u V H l w Z X M i I F Z h b H V l P S J z Q m d Z R E F 3 Q U F B d z 0 9 I i A v P j x F b n R y e S B U e X B l P S J G a W x s Q 2 9 s d W 1 u T m F t Z X M i I F Z h b H V l P S J z W y Z x d W 9 0 O 0 N v b H V t b j E m c X V v d D s s J n F 1 b 3 Q 7 Q 2 9 s d W 1 u M i Z x d W 9 0 O y w m c X V v d D t F b W l z c 2 l v b i Z x d W 9 0 O y w m c X V v d D t C a W 9 n Z W 5 p Y y B z d G 9 y Y W d l J n F 1 b 3 Q 7 L C Z x d W 9 0 O 0 N v b H V t b j U m c X V v d D s s J n F 1 b 3 Q 7 Q 2 9 s d W 1 u N i Z x d W 9 0 O y w m c X V v d D t D b 2 x 1 b W 4 3 J n F 1 b 3 Q 7 X S I g L z 4 8 R W 5 0 c n k g V H l w Z T 0 i R m l s b F N 0 Y X R 1 c y I g V m F s d W U 9 I n N D b 2 1 w b G V 0 Z S I g L z 4 8 R W 5 0 c n k g V H l w Z T 0 i U m V s Y X R p b 2 5 z a G l w S W 5 m b 0 N v b n R h a W 5 l c i I g V m F s d W U 9 I n N 7 J n F 1 b 3 Q 7 Y 2 9 s d W 1 u Q 2 9 1 b n Q m c X V v d D s 6 N y w m c X V v d D t r Z X l D b 2 x 1 b W 5 O Y W 1 l c y Z x d W 9 0 O z p b X S w m c X V v d D t x d W V y e V J l b G F 0 a W 9 u c 2 h p c H M m c X V v d D s 6 W 1 0 s J n F 1 b 3 Q 7 Y 2 9 s d W 1 u S W R l b n R p d G l l c y Z x d W 9 0 O z p b J n F 1 b 3 Q 7 U 2 V j d G l v b j E v Z m l n d X J l c y B m b 3 I g c H J l c y 9 D a G F u Z 2 V k I F R 5 c G U u e 0 N v b H V t b j E s M H 0 m c X V v d D s s J n F 1 b 3 Q 7 U 2 V j d G l v b j E v Z m l n d X J l c y B m b 3 I g c H J l c y 9 D a G F u Z 2 V k I F R 5 c G U u e 0 N v b H V t b j I s M X 0 m c X V v d D s s J n F 1 b 3 Q 7 U 2 V j d G l v b j E v Z m l n d X J l c y B m b 3 I g c H J l c y 9 D a G F u Z 2 V k I F R 5 c G U u e 0 V t a X N z a W 9 u L D J 9 J n F 1 b 3 Q 7 L C Z x d W 9 0 O 1 N l Y 3 R p b 2 4 x L 2 Z p Z 3 V y Z X M g Z m 9 y I H B y Z X M v Q 2 h h b m d l Z C B U e X B l L n t C a W 9 n Z W 5 p Y y B z d G 9 y Y W d l L D N 9 J n F 1 b 3 Q 7 L C Z x d W 9 0 O 1 N l Y 3 R p b 2 4 x L 2 Z p Z 3 V y Z X M g Z m 9 y I H B y Z X M v Q 2 h h b m d l Z C B U e X B l L n t D b 2 x 1 b W 4 1 L D R 9 J n F 1 b 3 Q 7 L C Z x d W 9 0 O 1 N l Y 3 R p b 2 4 x L 2 Z p Z 3 V y Z X M g Z m 9 y I H B y Z X M v Q 2 h h b m d l Z C B U e X B l L n t D b 2 x 1 b W 4 2 L D V 9 J n F 1 b 3 Q 7 L C Z x d W 9 0 O 1 N l Y 3 R p b 2 4 x L 2 Z p Z 3 V y Z X M g Z m 9 y I H B y Z X M v Q 2 h h b m d l Z C B U e X B l L n t D b 2 x 1 b W 4 3 L D Z 9 J n F 1 b 3 Q 7 X S w m c X V v d D t D b 2 x 1 b W 5 D b 3 V u d C Z x d W 9 0 O z o 3 L C Z x d W 9 0 O 0 t l e U N v b H V t b k 5 h b W V z J n F 1 b 3 Q 7 O l t d L C Z x d W 9 0 O 0 N v b H V t b k l k Z W 5 0 a X R p Z X M m c X V v d D s 6 W y Z x d W 9 0 O 1 N l Y 3 R p b 2 4 x L 2 Z p Z 3 V y Z X M g Z m 9 y I H B y Z X M v Q 2 h h b m d l Z C B U e X B l L n t D b 2 x 1 b W 4 x L D B 9 J n F 1 b 3 Q 7 L C Z x d W 9 0 O 1 N l Y 3 R p b 2 4 x L 2 Z p Z 3 V y Z X M g Z m 9 y I H B y Z X M v Q 2 h h b m d l Z C B U e X B l L n t D b 2 x 1 b W 4 y L D F 9 J n F 1 b 3 Q 7 L C Z x d W 9 0 O 1 N l Y 3 R p b 2 4 x L 2 Z p Z 3 V y Z X M g Z m 9 y I H B y Z X M v Q 2 h h b m d l Z C B U e X B l L n t F b W l z c 2 l v b i w y f S Z x d W 9 0 O y w m c X V v d D t T Z W N 0 a W 9 u M S 9 m a W d 1 c m V z I G Z v c i B w c m V z L 0 N o Y W 5 n Z W Q g V H l w Z S 5 7 Q m l v Z 2 V u a W M g c 3 R v c m F n Z S w z f S Z x d W 9 0 O y w m c X V v d D t T Z W N 0 a W 9 u M S 9 m a W d 1 c m V z I G Z v c i B w c m V z L 0 N o Y W 5 n Z W Q g V H l w Z S 5 7 Q 2 9 s d W 1 u N S w 0 f S Z x d W 9 0 O y w m c X V v d D t T Z W N 0 a W 9 u M S 9 m a W d 1 c m V z I G Z v c i B w c m V z L 0 N o Y W 5 n Z W Q g V H l w Z S 5 7 Q 2 9 s d W 1 u N i w 1 f S Z x d W 9 0 O y w m c X V v d D t T Z W N 0 a W 9 u M S 9 m a W d 1 c m V z I G Z v c i B w c m V z L 0 N o Y W 5 n Z W Q g V H l w Z S 5 7 Q 2 9 s d W 1 u N y w 2 f S Z x d W 9 0 O 1 0 s J n F 1 b 3 Q 7 U m V s Y X R p b 2 5 z a G l w S W 5 m b y Z x d W 9 0 O z p b X X 0 i I C 8 + P C 9 T d G F i b G V F b n R y a W V z P j w v S X R l b T 4 8 S X R l b T 4 8 S X R l b U x v Y 2 F 0 a W 9 u P j x J d G V t V H l w Z T 5 G b 3 J t d W x h P C 9 J d G V t V H l w Z T 4 8 S X R l b V B h d G g + U 2 V j d G l v b j E v Z m l n d X J l c y U y M G Z v c i U y M H B y Z X M v U 2 9 1 c m N l P C 9 J d G V t U G F 0 a D 4 8 L 0 l 0 Z W 1 M b 2 N h d G l v b j 4 8 U 3 R h Y m x l R W 5 0 c m l l c y A v P j w v S X R l b T 4 8 S X R l b T 4 8 S X R l b U x v Y 2 F 0 a W 9 u P j x J d G V t V H l w Z T 5 G b 3 J t d W x h P C 9 J d G V t V H l w Z T 4 8 S X R l b V B h d G g + U 2 V j d G l v b j E v Z m l n d X J l c y U y M G Z v c i U y M H B y Z X M v Z m l n d X J l c y U y M G Z v c i U y M H B y Z X N f U 2 h l Z X Q 8 L 0 l 0 Z W 1 Q Y X R o P j w v S X R l b U x v Y 2 F 0 a W 9 u P j x T d G F i b G V F b n R y a W V z I C 8 + P C 9 J d G V t P j x J d G V t P j x J d G V t T G 9 j Y X R p b 2 4 + P E l 0 Z W 1 U e X B l P k Z v c m 1 1 b G E 8 L 0 l 0 Z W 1 U e X B l P j x J d G V t U G F 0 a D 5 T Z W N 0 a W 9 u M S 9 m a W d 1 c m V z J T I w Z m 9 y J T I w c H J l c y 9 Q c m 9 t b 3 R l Z C U y M E h l Y W R l c n M 8 L 0 l 0 Z W 1 Q Y X R o P j w v S X R l b U x v Y 2 F 0 a W 9 u P j x T d G F i b G V F b n R y a W V z I C 8 + P C 9 J d G V t P j x J d G V t P j x J d G V t T G 9 j Y X R p b 2 4 + P E l 0 Z W 1 U e X B l P k Z v c m 1 1 b G E 8 L 0 l 0 Z W 1 U e X B l P j x J d G V t U G F 0 a D 5 T Z W N 0 a W 9 u M S 9 m a W d 1 c m V z J T I w Z m 9 y J T I w c H J l c y 9 D a G F u Z 2 V k J T I w V H l w Z T w v S X R l b V B h d G g + P C 9 J d G V t T G 9 j Y X R p b 2 4 + P F N 0 Y W J s Z U V u d H J p Z X M g L z 4 8 L 0 l 0 Z W 0 + P E l 0 Z W 0 + P E l 0 Z W 1 M b 2 N h d G l v b j 4 8 S X R l b V R 5 c G U + R m 9 y b X V s Y T w v S X R l b V R 5 c G U + P E l 0 Z W 1 Q Y X R o P l N l Y 3 R p b 2 4 x L 0 Z v d W 5 k Y X R p b 2 5 z P C 9 J d G V t U G F 0 a D 4 8 L 0 l 0 Z W 1 M b 2 N h d G l v b j 4 8 U 3 R h Y m x l R W 5 0 c m l l c z 4 8 R W 5 0 c n k g V H l w Z T 0 i S X N Q c m l 2 Y X R l I i B W Y W x 1 Z T 0 i b D A i I C 8 + P E V u d H J 5 I F R 5 c G U 9 I l F 1 Z X J 5 S U Q i I F Z h b H V l P S J z O G Q z M T J m N z Y t O T Y 1 O S 0 0 O T g 1 L T h m Z T Y t O D U x M T Q y M W Y 2 N D R k 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O Y W 1 l V X B k Y X R l Z E F m d G V y R m l s b C I g V m F s d W U 9 I m w w I i A v P j x F b n R y e S B U e X B l P S J G a W x s Z W R D b 2 1 w b G V 0 Z V J l c 3 V s d F R v V 2 9 y a 3 N o Z W V 0 I i B W Y W x 1 Z T 0 i b D A i I C 8 + P E V u d H J 5 I F R 5 c G U 9 I k F k Z G V k V G 9 E Y X R h T W 9 k Z W w i I F Z h b H V l P S J s M S I g L z 4 8 R W 5 0 c n k g V H l w Z T 0 i R m l s b E N v d W 5 0 I i B W Y W x 1 Z T 0 i b D M 1 I i A v P j x F b n R y e S B U e X B l P S J G a W x s R X J y b 3 J D b 2 R l I i B W Y W x 1 Z T 0 i c 1 V u a 2 5 v d 2 4 i I C 8 + P E V u d H J 5 I F R 5 c G U 9 I k Z p b G x F c n J v c k N v d W 5 0 I i B W Y W x 1 Z T 0 i b D A i I C 8 + P E V u d H J 5 I F R 5 c G U 9 I k Z p b G x M Y X N 0 V X B k Y X R l Z C I g V m F s d W U 9 I m Q y M D I 0 L T A 3 L T I 5 V D A 4 O j Q 4 O j U 0 L j U y N z Q 0 N T h a I i A v P j x F b n R y e S B U e X B l P S J G a W x s Q 2 9 s d W 1 u V H l w Z X M i I F Z h b H V l P S J z Q m d V R k J R W U F B Q T 0 9 I i A v P j x F b n R y e S B U e X B l P S J G a W x s Q 2 9 s d W 1 u T m F t Z X M i I F Z h b H V l P S J z W y Z x d W 9 0 O 0 5 h b W U m c X V v d D s s J n F 1 b 3 Q 7 T m 8 g Y 2 V t Z W 5 0 J n F 1 b 3 Q 7 L C Z x d W 9 0 O 3 d p d G g g Y 2 V t Z W 5 0 J n F 1 b 3 Q 7 L C Z x d W 9 0 O 2 F k Z C B z d G V l b C Z x d W 9 0 O y w m c X V v d D t V b m l 0 J n F 1 b 3 Q 7 L C Z x d W 9 0 O 0 N v b H V t b j Y m c X V v d D s s J n F 1 b 3 Q 7 Q 2 9 s d W 1 u N y Z x d W 9 0 O 1 0 i I C 8 + P E V u d H J 5 I F R 5 c G U 9 I k Z p b G x T d G F 0 d X M i I F Z h b H V l P S J z Q 2 9 t c G x l d G U i I C 8 + P E V u d H J 5 I F R 5 c G U 9 I l J l b G F 0 a W 9 u c 2 h p c E l u Z m 9 D b 2 5 0 Y W l u Z X I i I F Z h b H V l P S J z e y Z x d W 9 0 O 2 N v b H V t b k N v d W 5 0 J n F 1 b 3 Q 7 O j c s J n F 1 b 3 Q 7 a 2 V 5 Q 2 9 s d W 1 u T m F t Z X M m c X V v d D s 6 W 1 0 s J n F 1 b 3 Q 7 c X V l c n l S Z W x h d G l v b n N o a X B z J n F 1 b 3 Q 7 O l t d L C Z x d W 9 0 O 2 N v b H V t b k l k Z W 5 0 a X R p Z X M m c X V v d D s 6 W y Z x d W 9 0 O 1 N l Y 3 R p b 2 4 x L 0 Z v d W 5 k Y X R p b 2 5 z L 0 N o Y W 5 n Z W Q g V H l w Z S 5 7 T m F t Z S w w f S Z x d W 9 0 O y w m c X V v d D t T Z W N 0 a W 9 u M S 9 G b 3 V u Z G F 0 a W 9 u c y 9 D a G F u Z 2 V k I F R 5 c G U u e 0 5 v I G N l b W V u d C w x f S Z x d W 9 0 O y w m c X V v d D t T Z W N 0 a W 9 u M S 9 G b 3 V u Z G F 0 a W 9 u c y 9 D a G F u Z 2 V k I F R 5 c G U u e 3 d p d G g g Y 2 V t Z W 5 0 L D J 9 J n F 1 b 3 Q 7 L C Z x d W 9 0 O 1 N l Y 3 R p b 2 4 x L 0 Z v d W 5 k Y X R p b 2 5 z L 0 N o Y W 5 n Z W Q g V H l w Z S 5 7 Y W R k I H N 0 Z W V s L D N 9 J n F 1 b 3 Q 7 L C Z x d W 9 0 O 1 N l Y 3 R p b 2 4 x L 0 Z v d W 5 k Y X R p b 2 5 z L 0 N o Y W 5 n Z W Q g V H l w Z S 5 7 V W 5 p d C w 0 f S Z x d W 9 0 O y w m c X V v d D t T Z W N 0 a W 9 u M S 9 G b 3 V u Z G F 0 a W 9 u c y 9 D a G F u Z 2 V k I F R 5 c G U u e 0 N v b H V t b j Y s N X 0 m c X V v d D s s J n F 1 b 3 Q 7 U 2 V j d G l v b j E v R m 9 1 b m R h d G l v b n M v Q 2 h h b m d l Z C B U e X B l L n t D b 2 x 1 b W 4 3 L D Z 9 J n F 1 b 3 Q 7 X S w m c X V v d D t D b 2 x 1 b W 5 D b 3 V u d C Z x d W 9 0 O z o 3 L C Z x d W 9 0 O 0 t l e U N v b H V t b k 5 h b W V z J n F 1 b 3 Q 7 O l t d L C Z x d W 9 0 O 0 N v b H V t b k l k Z W 5 0 a X R p Z X M m c X V v d D s 6 W y Z x d W 9 0 O 1 N l Y 3 R p b 2 4 x L 0 Z v d W 5 k Y X R p b 2 5 z L 0 N o Y W 5 n Z W Q g V H l w Z S 5 7 T m F t Z S w w f S Z x d W 9 0 O y w m c X V v d D t T Z W N 0 a W 9 u M S 9 G b 3 V u Z G F 0 a W 9 u c y 9 D a G F u Z 2 V k I F R 5 c G U u e 0 5 v I G N l b W V u d C w x f S Z x d W 9 0 O y w m c X V v d D t T Z W N 0 a W 9 u M S 9 G b 3 V u Z G F 0 a W 9 u c y 9 D a G F u Z 2 V k I F R 5 c G U u e 3 d p d G g g Y 2 V t Z W 5 0 L D J 9 J n F 1 b 3 Q 7 L C Z x d W 9 0 O 1 N l Y 3 R p b 2 4 x L 0 Z v d W 5 k Y X R p b 2 5 z L 0 N o Y W 5 n Z W Q g V H l w Z S 5 7 Y W R k I H N 0 Z W V s L D N 9 J n F 1 b 3 Q 7 L C Z x d W 9 0 O 1 N l Y 3 R p b 2 4 x L 0 Z v d W 5 k Y X R p b 2 5 z L 0 N o Y W 5 n Z W Q g V H l w Z S 5 7 V W 5 p d C w 0 f S Z x d W 9 0 O y w m c X V v d D t T Z W N 0 a W 9 u M S 9 G b 3 V u Z G F 0 a W 9 u c y 9 D a G F u Z 2 V k I F R 5 c G U u e 0 N v b H V t b j Y s N X 0 m c X V v d D s s J n F 1 b 3 Q 7 U 2 V j d G l v b j E v R m 9 1 b m R h d G l v b n M v Q 2 h h b m d l Z C B U e X B l L n t D b 2 x 1 b W 4 3 L D Z 9 J n F 1 b 3 Q 7 X S w m c X V v d D t S Z W x h d G l v b n N o a X B J b m Z v J n F 1 b 3 Q 7 O l t d f S I g L z 4 8 L 1 N 0 Y W J s Z U V u d H J p Z X M + P C 9 J d G V t P j x J d G V t P j x J d G V t T G 9 j Y X R p b 2 4 + P E l 0 Z W 1 U e X B l P k Z v c m 1 1 b G E 8 L 0 l 0 Z W 1 U e X B l P j x J d G V t U G F 0 a D 5 T Z W N 0 a W 9 u M S 9 G b 3 V u Z G F 0 a W 9 u c y 9 T b 3 V y Y 2 U 8 L 0 l 0 Z W 1 Q Y X R o P j w v S X R l b U x v Y 2 F 0 a W 9 u P j x T d G F i b G V F b n R y a W V z I C 8 + P C 9 J d G V t P j x J d G V t P j x J d G V t T G 9 j Y X R p b 2 4 + P E l 0 Z W 1 U e X B l P k Z v c m 1 1 b G E 8 L 0 l 0 Z W 1 U e X B l P j x J d G V t U G F 0 a D 5 T Z W N 0 a W 9 u M S 9 G b 3 V u Z G F 0 a W 9 u c y 9 G b 3 V u Z G F 0 a W 9 u c 1 9 T a G V l d D w v S X R l b V B h d G g + P C 9 J d G V t T G 9 j Y X R p b 2 4 + P F N 0 Y W J s Z U V u d H J p Z X M g L z 4 8 L 0 l 0 Z W 0 + P E l 0 Z W 0 + P E l 0 Z W 1 M b 2 N h d G l v b j 4 8 S X R l b V R 5 c G U + R m 9 y b X V s Y T w v S X R l b V R 5 c G U + P E l 0 Z W 1 Q Y X R o P l N l Y 3 R p b 2 4 x L 0 Z v d W 5 k Y X R p b 2 5 z L 1 B y b 2 1 v d G V k J T I w S G V h Z G V y c z w v S X R l b V B h d G g + P C 9 J d G V t T G 9 j Y X R p b 2 4 + P F N 0 Y W J s Z U V u d H J p Z X M g L z 4 8 L 0 l 0 Z W 0 + P E l 0 Z W 0 + P E l 0 Z W 1 M b 2 N h d G l v b j 4 8 S X R l b V R 5 c G U + R m 9 y b X V s Y T w v S X R l b V R 5 c G U + P E l 0 Z W 1 Q Y X R o P l N l Y 3 R p b 2 4 x L 0 Z v d W 5 k Y X R p b 2 5 z L 0 N o Y W 5 n Z W Q l M j B U e X B l P C 9 J d G V t U G F 0 a D 4 8 L 0 l 0 Z W 1 M b 2 N h d G l v b j 4 8 U 3 R h Y m x l R W 5 0 c m l l c y A v P j w v S X R l b T 4 8 S X R l b T 4 8 S X R l b U x v Y 2 F 0 a W 9 u P j x J d G V t V H l w Z T 5 G b 3 J t d W x h P C 9 J d G V t V H l w Z T 4 8 S X R l b V B h d G g + U 2 V j d G l v b j E v S W 5 z d W x h d G l v b j w v S X R l b V B h d G g + P C 9 J d G V t T G 9 j Y X R p b 2 4 + P F N 0 Y W J s Z U V u d H J p Z X M + P E V u d H J 5 I F R 5 c G U 9 I k l z U H J p d m F 0 Z S I g V m F s d W U 9 I m w w I i A v P j x F b n R y e S B U e X B l P S J R d W V y e U l E I i B W Y W x 1 Z T 0 i c z Q z N D c 4 Z D M 1 L T k 3 N z Y t N D F h N C 1 h Z j l k L T d i Y j E w O D k 4 Z W Q x M S 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R m l s b G V k Q 2 9 t c G x l d G V S Z X N 1 b H R U b 1 d v c m t z a G V l d C I g V m F s d W U 9 I m w w I i A v P j x F b n R y e S B U e X B l P S J B Z G R l Z F R v R G F 0 Y U 1 v Z G V s I i B W Y W x 1 Z T 0 i b D E i I C 8 + P E V u d H J 5 I F R 5 c G U 9 I k Z p b G x D b 3 V u d C I g V m F s d W U 9 I m w 3 O S I g L z 4 8 R W 5 0 c n k g V H l w Z T 0 i R m l s b E V y c m 9 y Q 2 9 k Z S I g V m F s d W U 9 I n N V b m t u b 3 d u I i A v P j x F b n R y e S B U e X B l P S J G a W x s R X J y b 3 J D b 3 V u d C I g V m F s d W U 9 I m w w I i A v P j x F b n R y e S B U e X B l P S J G a W x s T G F z d F V w Z G F 0 Z W Q i I F Z h b H V l P S J k M j A y N C 0 w N y 0 y O V Q w O D o 0 O D o 1 N C 4 1 M z M 4 M T A 5 W i I g L z 4 8 R W 5 0 c n k g V H l w Z T 0 i R m l s b E N v b H V t b l R 5 c G V z I i B W Y W x 1 Z T 0 i c 0 J n Q U Z C Z 0 F H Q U F Z P S I g L z 4 8 R W 5 0 c n k g V H l w Z T 0 i R m l s b E N v b H V t b k 5 h b W V z I i B W Y W x 1 Z T 0 i c 1 s m c X V v d D t U b 3 R h b C Z x d W 9 0 O y w m c X V v d D t T d H J h d y Z x d W 9 0 O y w m c X V v d D t F U F M m c X V v d D s s J n F 1 b 3 Q 7 V W 5 p d C Z x d W 9 0 O y w m c X V v d D t D b 2 x 1 b W 4 1 J n F 1 b 3 Q 7 L C Z x d W 9 0 O 0 N v b H V t b j Y m c X V v d D s s J n F 1 b 3 Q 7 Q 2 9 s d W 1 u N y Z x d W 9 0 O y w m c X V v d D t D b 2 x 1 b W 4 4 J n F 1 b 3 Q 7 X S I g L z 4 8 R W 5 0 c n k g V H l w Z T 0 i R m l s b F N 0 Y X R 1 c y I g V m F s d W U 9 I n N D b 2 1 w b G V 0 Z S I g L z 4 8 R W 5 0 c n k g V H l w Z T 0 i U m V s Y X R p b 2 5 z a G l w S W 5 m b 0 N v b n R h a W 5 l c i I g V m F s d W U 9 I n N 7 J n F 1 b 3 Q 7 Y 2 9 s d W 1 u Q 2 9 1 b n Q m c X V v d D s 6 O C w m c X V v d D t r Z X l D b 2 x 1 b W 5 O Y W 1 l c y Z x d W 9 0 O z p b X S w m c X V v d D t x d W V y e V J l b G F 0 a W 9 u c 2 h p c H M m c X V v d D s 6 W 1 0 s J n F 1 b 3 Q 7 Y 2 9 s d W 1 u S W R l b n R p d G l l c y Z x d W 9 0 O z p b J n F 1 b 3 Q 7 U 2 V j d G l v b j E v S W 5 z d W x h d G l v b i 9 D a G F u Z 2 V k I F R 5 c G U u e 1 R v d G F s L D B 9 J n F 1 b 3 Q 7 L C Z x d W 9 0 O 1 N l Y 3 R p b 2 4 x L 0 l u c 3 V s Y X R p b 2 4 v Q 2 h h b m d l Z C B U e X B l L n t T d H J h d y w x f S Z x d W 9 0 O y w m c X V v d D t T Z W N 0 a W 9 u M S 9 J b n N 1 b G F 0 a W 9 u L 0 N o Y W 5 n Z W Q g V H l w Z S 5 7 R V B T L D J 9 J n F 1 b 3 Q 7 L C Z x d W 9 0 O 1 N l Y 3 R p b 2 4 x L 0 l u c 3 V s Y X R p b 2 4 v Q 2 h h b m d l Z C B U e X B l L n t V b m l 0 L D N 9 J n F 1 b 3 Q 7 L C Z x d W 9 0 O 1 N l Y 3 R p b 2 4 x L 0 l u c 3 V s Y X R p b 2 4 v Q 2 h h b m d l Z C B U e X B l L n t D b 2 x 1 b W 4 1 L D R 9 J n F 1 b 3 Q 7 L C Z x d W 9 0 O 1 N l Y 3 R p b 2 4 x L 0 l u c 3 V s Y X R p b 2 4 v Q 2 h h b m d l Z C B U e X B l L n t D b 2 x 1 b W 4 2 L D V 9 J n F 1 b 3 Q 7 L C Z x d W 9 0 O 1 N l Y 3 R p b 2 4 x L 0 l u c 3 V s Y X R p b 2 4 v Q 2 h h b m d l Z C B U e X B l L n t D b 2 x 1 b W 4 3 L D Z 9 J n F 1 b 3 Q 7 L C Z x d W 9 0 O 1 N l Y 3 R p b 2 4 x L 0 l u c 3 V s Y X R p b 2 4 v Q 2 h h b m d l Z C B U e X B l L n t D b 2 x 1 b W 4 4 L D d 9 J n F 1 b 3 Q 7 X S w m c X V v d D t D b 2 x 1 b W 5 D b 3 V u d C Z x d W 9 0 O z o 4 L C Z x d W 9 0 O 0 t l e U N v b H V t b k 5 h b W V z J n F 1 b 3 Q 7 O l t d L C Z x d W 9 0 O 0 N v b H V t b k l k Z W 5 0 a X R p Z X M m c X V v d D s 6 W y Z x d W 9 0 O 1 N l Y 3 R p b 2 4 x L 0 l u c 3 V s Y X R p b 2 4 v Q 2 h h b m d l Z C B U e X B l L n t U b 3 R h b C w w f S Z x d W 9 0 O y w m c X V v d D t T Z W N 0 a W 9 u M S 9 J b n N 1 b G F 0 a W 9 u L 0 N o Y W 5 n Z W Q g V H l w Z S 5 7 U 3 R y Y X c s M X 0 m c X V v d D s s J n F 1 b 3 Q 7 U 2 V j d G l v b j E v S W 5 z d W x h d G l v b i 9 D a G F u Z 2 V k I F R 5 c G U u e 0 V Q U y w y f S Z x d W 9 0 O y w m c X V v d D t T Z W N 0 a W 9 u M S 9 J b n N 1 b G F 0 a W 9 u L 0 N o Y W 5 n Z W Q g V H l w Z S 5 7 V W 5 p d C w z f S Z x d W 9 0 O y w m c X V v d D t T Z W N 0 a W 9 u M S 9 J b n N 1 b G F 0 a W 9 u L 0 N o Y W 5 n Z W Q g V H l w Z S 5 7 Q 2 9 s d W 1 u N S w 0 f S Z x d W 9 0 O y w m c X V v d D t T Z W N 0 a W 9 u M S 9 J b n N 1 b G F 0 a W 9 u L 0 N o Y W 5 n Z W Q g V H l w Z S 5 7 Q 2 9 s d W 1 u N i w 1 f S Z x d W 9 0 O y w m c X V v d D t T Z W N 0 a W 9 u M S 9 J b n N 1 b G F 0 a W 9 u L 0 N o Y W 5 n Z W Q g V H l w Z S 5 7 Q 2 9 s d W 1 u N y w 2 f S Z x d W 9 0 O y w m c X V v d D t T Z W N 0 a W 9 u M S 9 J b n N 1 b G F 0 a W 9 u L 0 N o Y W 5 n Z W Q g V H l w Z S 5 7 Q 2 9 s d W 1 u O C w 3 f S Z x d W 9 0 O 1 0 s J n F 1 b 3 Q 7 U m V s Y X R p b 2 5 z a G l w S W 5 m b y Z x d W 9 0 O z p b X X 0 i I C 8 + P C 9 T d G F i b G V F b n R y a W V z P j w v S X R l b T 4 8 S X R l b T 4 8 S X R l b U x v Y 2 F 0 a W 9 u P j x J d G V t V H l w Z T 5 G b 3 J t d W x h P C 9 J d G V t V H l w Z T 4 8 S X R l b V B h d G g + U 2 V j d G l v b j E v S W 5 z d W x h d G l v b i 9 T b 3 V y Y 2 U 8 L 0 l 0 Z W 1 Q Y X R o P j w v S X R l b U x v Y 2 F 0 a W 9 u P j x T d G F i b G V F b n R y a W V z I C 8 + P C 9 J d G V t P j x J d G V t P j x J d G V t T G 9 j Y X R p b 2 4 + P E l 0 Z W 1 U e X B l P k Z v c m 1 1 b G E 8 L 0 l 0 Z W 1 U e X B l P j x J d G V t U G F 0 a D 5 T Z W N 0 a W 9 u M S 9 J b n N 1 b G F 0 a W 9 u L 0 l u c 3 V s Y X R p b 2 5 f U 2 h l Z X Q 8 L 0 l 0 Z W 1 Q Y X R o P j w v S X R l b U x v Y 2 F 0 a W 9 u P j x T d G F i b G V F b n R y a W V z I C 8 + P C 9 J d G V t P j x J d G V t P j x J d G V t T G 9 j Y X R p b 2 4 + P E l 0 Z W 1 U e X B l P k Z v c m 1 1 b G E 8 L 0 l 0 Z W 1 U e X B l P j x J d G V t U G F 0 a D 5 T Z W N 0 a W 9 u M S 9 J b n N 1 b G F 0 a W 9 u L 1 B y b 2 1 v d G V k J T I w S G V h Z G V y c z w v S X R l b V B h d G g + P C 9 J d G V t T G 9 j Y X R p b 2 4 + P F N 0 Y W J s Z U V u d H J p Z X M g L z 4 8 L 0 l 0 Z W 0 + P E l 0 Z W 0 + P E l 0 Z W 1 M b 2 N h d G l v b j 4 8 S X R l b V R 5 c G U + R m 9 y b X V s Y T w v S X R l b V R 5 c G U + P E l 0 Z W 1 Q Y X R o P l N l Y 3 R p b 2 4 x L 0 l u c 3 V s Y X R p b 2 4 v Q 2 h h b m d l Z C U y M F R 5 c G U 8 L 0 l 0 Z W 1 Q Y X R o P j w v S X R l b U x v Y 2 F 0 a W 9 u P j x T d G F i b G V F b n R y a W V z I C 8 + P C 9 J d G V t P j x J d G V t P j x J d G V t T G 9 j Y X R p b 2 4 + P E l 0 Z W 1 U e X B l P k Z v c m 1 1 b G E 8 L 0 l 0 Z W 1 U e X B l P j x J d G V t U G F 0 a D 5 T Z W N 0 a W 9 u M S 9 N Y W l u P C 9 J d G V t U G F 0 a D 4 8 L 0 l 0 Z W 1 M b 2 N h d G l v b j 4 8 U 3 R h Y m x l R W 5 0 c m l l c z 4 8 R W 5 0 c n k g V H l w Z T 0 i S X N Q c m l 2 Y X R l I i B W Y W x 1 Z T 0 i b D A i I C 8 + P E V u d H J 5 I F R 5 c G U 9 I l F 1 Z X J 5 S U Q i I F Z h b H V l P S J z N G Q 0 O T Q x Y z Q t Z W Q x Y i 0 0 Y z c 2 L T l k Y T I t N j E 4 Z j B k Z T M 3 Y W Y 3 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O Y W 1 l V X B k Y X R l Z E F m d G V y R m l s b C I g V m F s d W U 9 I m w w I i A v P j x F b n R y e S B U e X B l P S J G a W x s Z W R D b 2 1 w b G V 0 Z V J l c 3 V s d F R v V 2 9 y a 3 N o Z W V 0 I i B W Y W x 1 Z T 0 i b D A i I C 8 + P E V u d H J 5 I F R 5 c G U 9 I k F k Z G V k V G 9 E Y X R h T W 9 k Z W w i I F Z h b H V l P S J s M S I g L z 4 8 R W 5 0 c n k g V H l w Z T 0 i R m l s b E N v d W 5 0 I i B W Y W x 1 Z T 0 i b D E x N C I g L z 4 8 R W 5 0 c n k g V H l w Z T 0 i R m l s b E V y c m 9 y Q 2 9 k Z S I g V m F s d W U 9 I n N V b m t u b 3 d u I i A v P j x F b n R y e S B U e X B l P S J G a W x s R X J y b 3 J D b 3 V u d C I g V m F s d W U 9 I m w w I i A v P j x F b n R y e S B U e X B l P S J G a W x s T G F z d F V w Z G F 0 Z W Q i I F Z h b H V l P S J k M j A y N C 0 w N y 0 y O V Q w O D o 0 O D o 1 N C 4 1 M z g 4 M j g 0 W i I g L z 4 8 R W 5 0 c n k g V H l w Z T 0 i R m l s b E N v b H V t b l R 5 c G V z I i B W Y W x 1 Z T 0 i c 0 F B W U F B Q U F B Q U F B Q U F B Q U F B Q U F B Q U F B Q U F B Q U F B Q U F H Q U F B Q U F B Q U d B Q V l G Q U F B Q U F B Q U F B Q V l B Q U F B Q U F B Q U F B Q U E 9 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L C Z x d W 9 0 O 0 N v b H V t b j E 4 J n F 1 b 3 Q 7 L C Z x d W 9 0 O 0 N v b H V t b j E 5 J n F 1 b 3 Q 7 L C Z x d W 9 0 O 0 N v b H V t b j I w J n F 1 b 3 Q 7 L C Z x d W 9 0 O 0 N v b H V t b j I x J n F 1 b 3 Q 7 L C Z x d W 9 0 O 0 N v b H V t b j I y J n F 1 b 3 Q 7 L C Z x d W 9 0 O 0 N v b H V t b j I z J n F 1 b 3 Q 7 L C Z x d W 9 0 O 0 N v b H V t b j I 0 J n F 1 b 3 Q 7 L C Z x d W 9 0 O 0 N v b H V t b j I 1 J n F 1 b 3 Q 7 L C Z x d W 9 0 O 0 N v b H V t b j I 2 J n F 1 b 3 Q 7 L C Z x d W 9 0 O 0 N v b H V t b j I 3 J n F 1 b 3 Q 7 L C Z x d W 9 0 O 0 N v b H V t b j I 4 J n F 1 b 3 Q 7 L C Z x d W 9 0 O 0 N v b H V t b j I 5 J n F 1 b 3 Q 7 L C Z x d W 9 0 O 0 N v b H V t b j M w J n F 1 b 3 Q 7 L C Z x d W 9 0 O 0 N v b H V t b j M x J n F 1 b 3 Q 7 L C Z x d W 9 0 O 0 N v b H V t b j M y J n F 1 b 3 Q 7 L C Z x d W 9 0 O 0 N v b H V t b j M z J n F 1 b 3 Q 7 L C Z x d W 9 0 O 0 N v b H V t b j M 0 J n F 1 b 3 Q 7 L C Z x d W 9 0 O 0 N v b H V t b j M 1 J n F 1 b 3 Q 7 L C Z x d W 9 0 O 0 N v b H V t b j M 2 J n F 1 b 3 Q 7 L C Z x d W 9 0 O 0 N v b H V t b j M 3 J n F 1 b 3 Q 7 L C Z x d W 9 0 O 0 N v b H V t b j M 4 J n F 1 b 3 Q 7 L C Z x d W 9 0 O 0 N v b H V t b j M 5 J n F 1 b 3 Q 7 L C Z x d W 9 0 O 0 N v b H V t b j Q w J n F 1 b 3 Q 7 L C Z x d W 9 0 O 0 N v b H V t b j Q x J n F 1 b 3 Q 7 L C Z x d W 9 0 O 0 N v b H V t b j Q y J n F 1 b 3 Q 7 L C Z x d W 9 0 O 0 N v b H V t b j Q z J n F 1 b 3 Q 7 L C Z x d W 9 0 O 0 N v b H V t b j Q 0 J n F 1 b 3 Q 7 L C Z x d W 9 0 O 0 N v b H V t b j Q 1 J n F 1 b 3 Q 7 L C Z x d W 9 0 O 0 N v b H V t b j Q 2 J n F 1 b 3 Q 7 L C Z x d W 9 0 O 0 N v b H V t b j Q 3 J n F 1 b 3 Q 7 L C Z x d W 9 0 O 0 N v b H V t b j Q 4 J n F 1 b 3 Q 7 L C Z x d W 9 0 O 0 N v b H V t b j Q 5 J n F 1 b 3 Q 7 L C Z x d W 9 0 O 0 N v b H V t b j U w J n F 1 b 3 Q 7 X S I g L z 4 8 R W 5 0 c n k g V H l w Z T 0 i R m l s b F N 0 Y X R 1 c y I g V m F s d W U 9 I n N D b 2 1 w b G V 0 Z S I g L z 4 8 R W 5 0 c n k g V H l w Z T 0 i U m V s Y X R p b 2 5 z a G l w S W 5 m b 0 N v b n R h a W 5 l c i I g V m F s d W U 9 I n N 7 J n F 1 b 3 Q 7 Y 2 9 s d W 1 u Q 2 9 1 b n Q m c X V v d D s 6 N T A s J n F 1 b 3 Q 7 a 2 V 5 Q 2 9 s d W 1 u T m F t Z X M m c X V v d D s 6 W 1 0 s J n F 1 b 3 Q 7 c X V l c n l S Z W x h d G l v b n N o a X B z J n F 1 b 3 Q 7 O l t d L C Z x d W 9 0 O 2 N v b H V t b k l k Z W 5 0 a X R p Z X M m c X V v d D s 6 W y Z x d W 9 0 O 1 N l Y 3 R p b 2 4 x L 0 1 h a W 4 v Q 2 h h b m d l Z C B U e X B l L n t D b 2 x 1 b W 4 x L D B 9 J n F 1 b 3 Q 7 L C Z x d W 9 0 O 1 N l Y 3 R p b 2 4 x L 0 1 h a W 4 v Q 2 h h b m d l Z C B U e X B l L n t D b 2 x 1 b W 4 y L D F 9 J n F 1 b 3 Q 7 L C Z x d W 9 0 O 1 N l Y 3 R p b 2 4 x L 0 1 h a W 4 v Q 2 h h b m d l Z C B U e X B l L n t D b 2 x 1 b W 4 z L D J 9 J n F 1 b 3 Q 7 L C Z x d W 9 0 O 1 N l Y 3 R p b 2 4 x L 0 1 h a W 4 v Q 2 h h b m d l Z C B U e X B l L n t D b 2 x 1 b W 4 0 L D N 9 J n F 1 b 3 Q 7 L C Z x d W 9 0 O 1 N l Y 3 R p b 2 4 x L 0 1 h a W 4 v Q 2 h h b m d l Z C B U e X B l L n t D b 2 x 1 b W 4 1 L D R 9 J n F 1 b 3 Q 7 L C Z x d W 9 0 O 1 N l Y 3 R p b 2 4 x L 0 1 h a W 4 v Q 2 h h b m d l Z C B U e X B l L n t D b 2 x 1 b W 4 2 L D V 9 J n F 1 b 3 Q 7 L C Z x d W 9 0 O 1 N l Y 3 R p b 2 4 x L 0 1 h a W 4 v Q 2 h h b m d l Z C B U e X B l L n t D b 2 x 1 b W 4 3 L D Z 9 J n F 1 b 3 Q 7 L C Z x d W 9 0 O 1 N l Y 3 R p b 2 4 x L 0 1 h a W 4 v Q 2 h h b m d l Z C B U e X B l L n t D b 2 x 1 b W 4 4 L D d 9 J n F 1 b 3 Q 7 L C Z x d W 9 0 O 1 N l Y 3 R p b 2 4 x L 0 1 h a W 4 v Q 2 h h b m d l Z C B U e X B l L n t D b 2 x 1 b W 4 5 L D h 9 J n F 1 b 3 Q 7 L C Z x d W 9 0 O 1 N l Y 3 R p b 2 4 x L 0 1 h a W 4 v Q 2 h h b m d l Z C B U e X B l L n t D b 2 x 1 b W 4 x M C w 5 f S Z x d W 9 0 O y w m c X V v d D t T Z W N 0 a W 9 u M S 9 N Y W l u L 0 N o Y W 5 n Z W Q g V H l w Z S 5 7 Q 2 9 s d W 1 u M T E s M T B 9 J n F 1 b 3 Q 7 L C Z x d W 9 0 O 1 N l Y 3 R p b 2 4 x L 0 1 h a W 4 v Q 2 h h b m d l Z C B U e X B l L n t D b 2 x 1 b W 4 x M i w x M X 0 m c X V v d D s s J n F 1 b 3 Q 7 U 2 V j d G l v b j E v T W F p b i 9 D a G F u Z 2 V k I F R 5 c G U u e 0 N v b H V t b j E z L D E y f S Z x d W 9 0 O y w m c X V v d D t T Z W N 0 a W 9 u M S 9 N Y W l u L 0 N o Y W 5 n Z W Q g V H l w Z S 5 7 Q 2 9 s d W 1 u M T Q s M T N 9 J n F 1 b 3 Q 7 L C Z x d W 9 0 O 1 N l Y 3 R p b 2 4 x L 0 1 h a W 4 v Q 2 h h b m d l Z C B U e X B l L n t D b 2 x 1 b W 4 x N S w x N H 0 m c X V v d D s s J n F 1 b 3 Q 7 U 2 V j d G l v b j E v T W F p b i 9 D a G F u Z 2 V k I F R 5 c G U u e 0 N v b H V t b j E 2 L D E 1 f S Z x d W 9 0 O y w m c X V v d D t T Z W N 0 a W 9 u M S 9 N Y W l u L 0 N o Y W 5 n Z W Q g V H l w Z S 5 7 Q 2 9 s d W 1 u M T c s M T Z 9 J n F 1 b 3 Q 7 L C Z x d W 9 0 O 1 N l Y 3 R p b 2 4 x L 0 1 h a W 4 v Q 2 h h b m d l Z C B U e X B l L n t D b 2 x 1 b W 4 x O C w x N 3 0 m c X V v d D s s J n F 1 b 3 Q 7 U 2 V j d G l v b j E v T W F p b i 9 D a G F u Z 2 V k I F R 5 c G U u e 0 N v b H V t b j E 5 L D E 4 f S Z x d W 9 0 O y w m c X V v d D t T Z W N 0 a W 9 u M S 9 N Y W l u L 0 N o Y W 5 n Z W Q g V H l w Z S 5 7 Q 2 9 s d W 1 u M j A s M T l 9 J n F 1 b 3 Q 7 L C Z x d W 9 0 O 1 N l Y 3 R p b 2 4 x L 0 1 h a W 4 v Q 2 h h b m d l Z C B U e X B l L n t D b 2 x 1 b W 4 y M S w y M H 0 m c X V v d D s s J n F 1 b 3 Q 7 U 2 V j d G l v b j E v T W F p b i 9 D a G F u Z 2 V k I F R 5 c G U u e 0 N v b H V t b j I y L D I x f S Z x d W 9 0 O y w m c X V v d D t T Z W N 0 a W 9 u M S 9 N Y W l u L 0 N o Y W 5 n Z W Q g V H l w Z S 5 7 Q 2 9 s d W 1 u M j M s M j J 9 J n F 1 b 3 Q 7 L C Z x d W 9 0 O 1 N l Y 3 R p b 2 4 x L 0 1 h a W 4 v Q 2 h h b m d l Z C B U e X B l L n t D b 2 x 1 b W 4 y N C w y M 3 0 m c X V v d D s s J n F 1 b 3 Q 7 U 2 V j d G l v b j E v T W F p b i 9 D a G F u Z 2 V k I F R 5 c G U u e 0 N v b H V t b j I 1 L D I 0 f S Z x d W 9 0 O y w m c X V v d D t T Z W N 0 a W 9 u M S 9 N Y W l u L 0 N o Y W 5 n Z W Q g V H l w Z S 5 7 Q 2 9 s d W 1 u M j Y s M j V 9 J n F 1 b 3 Q 7 L C Z x d W 9 0 O 1 N l Y 3 R p b 2 4 x L 0 1 h a W 4 v Q 2 h h b m d l Z C B U e X B l L n t D b 2 x 1 b W 4 y N y w y N n 0 m c X V v d D s s J n F 1 b 3 Q 7 U 2 V j d G l v b j E v T W F p b i 9 D a G F u Z 2 V k I F R 5 c G U u e 0 N v b H V t b j I 4 L D I 3 f S Z x d W 9 0 O y w m c X V v d D t T Z W N 0 a W 9 u M S 9 N Y W l u L 0 N o Y W 5 n Z W Q g V H l w Z S 5 7 Q 2 9 s d W 1 u M j k s M j h 9 J n F 1 b 3 Q 7 L C Z x d W 9 0 O 1 N l Y 3 R p b 2 4 x L 0 1 h a W 4 v Q 2 h h b m d l Z C B U e X B l L n t D b 2 x 1 b W 4 z M C w y O X 0 m c X V v d D s s J n F 1 b 3 Q 7 U 2 V j d G l v b j E v T W F p b i 9 D a G F u Z 2 V k I F R 5 c G U u e 0 N v b H V t b j M x L D M w f S Z x d W 9 0 O y w m c X V v d D t T Z W N 0 a W 9 u M S 9 N Y W l u L 0 N o Y W 5 n Z W Q g V H l w Z S 5 7 Q 2 9 s d W 1 u M z I s M z F 9 J n F 1 b 3 Q 7 L C Z x d W 9 0 O 1 N l Y 3 R p b 2 4 x L 0 1 h a W 4 v Q 2 h h b m d l Z C B U e X B l L n t D b 2 x 1 b W 4 z M y w z M n 0 m c X V v d D s s J n F 1 b 3 Q 7 U 2 V j d G l v b j E v T W F p b i 9 D a G F u Z 2 V k I F R 5 c G U u e 0 N v b H V t b j M 0 L D M z f S Z x d W 9 0 O y w m c X V v d D t T Z W N 0 a W 9 u M S 9 N Y W l u L 0 N o Y W 5 n Z W Q g V H l w Z S 5 7 Q 2 9 s d W 1 u M z U s M z R 9 J n F 1 b 3 Q 7 L C Z x d W 9 0 O 1 N l Y 3 R p b 2 4 x L 0 1 h a W 4 v Q 2 h h b m d l Z C B U e X B l L n t D b 2 x 1 b W 4 z N i w z N X 0 m c X V v d D s s J n F 1 b 3 Q 7 U 2 V j d G l v b j E v T W F p b i 9 D a G F u Z 2 V k I F R 5 c G U u e 0 N v b H V t b j M 3 L D M 2 f S Z x d W 9 0 O y w m c X V v d D t T Z W N 0 a W 9 u M S 9 N Y W l u L 0 N o Y W 5 n Z W Q g V H l w Z S 5 7 Q 2 9 s d W 1 u M z g s M z d 9 J n F 1 b 3 Q 7 L C Z x d W 9 0 O 1 N l Y 3 R p b 2 4 x L 0 1 h a W 4 v Q 2 h h b m d l Z C B U e X B l L n t D b 2 x 1 b W 4 z O S w z O H 0 m c X V v d D s s J n F 1 b 3 Q 7 U 2 V j d G l v b j E v T W F p b i 9 D a G F u Z 2 V k I F R 5 c G U u e 0 N v b H V t b j Q w L D M 5 f S Z x d W 9 0 O y w m c X V v d D t T Z W N 0 a W 9 u M S 9 N Y W l u L 0 N o Y W 5 n Z W Q g V H l w Z S 5 7 Q 2 9 s d W 1 u N D E s N D B 9 J n F 1 b 3 Q 7 L C Z x d W 9 0 O 1 N l Y 3 R p b 2 4 x L 0 1 h a W 4 v Q 2 h h b m d l Z C B U e X B l L n t D b 2 x 1 b W 4 0 M i w 0 M X 0 m c X V v d D s s J n F 1 b 3 Q 7 U 2 V j d G l v b j E v T W F p b i 9 D a G F u Z 2 V k I F R 5 c G U u e 0 N v b H V t b j Q z L D Q y f S Z x d W 9 0 O y w m c X V v d D t T Z W N 0 a W 9 u M S 9 N Y W l u L 0 N o Y W 5 n Z W Q g V H l w Z S 5 7 Q 2 9 s d W 1 u N D Q s N D N 9 J n F 1 b 3 Q 7 L C Z x d W 9 0 O 1 N l Y 3 R p b 2 4 x L 0 1 h a W 4 v Q 2 h h b m d l Z C B U e X B l L n t D b 2 x 1 b W 4 0 N S w 0 N H 0 m c X V v d D s s J n F 1 b 3 Q 7 U 2 V j d G l v b j E v T W F p b i 9 D a G F u Z 2 V k I F R 5 c G U u e 0 N v b H V t b j Q 2 L D Q 1 f S Z x d W 9 0 O y w m c X V v d D t T Z W N 0 a W 9 u M S 9 N Y W l u L 0 N o Y W 5 n Z W Q g V H l w Z S 5 7 Q 2 9 s d W 1 u N D c s N D Z 9 J n F 1 b 3 Q 7 L C Z x d W 9 0 O 1 N l Y 3 R p b 2 4 x L 0 1 h a W 4 v Q 2 h h b m d l Z C B U e X B l L n t D b 2 x 1 b W 4 0 O C w 0 N 3 0 m c X V v d D s s J n F 1 b 3 Q 7 U 2 V j d G l v b j E v T W F p b i 9 D a G F u Z 2 V k I F R 5 c G U u e 0 N v b H V t b j Q 5 L D Q 4 f S Z x d W 9 0 O y w m c X V v d D t T Z W N 0 a W 9 u M S 9 N Y W l u L 0 N o Y W 5 n Z W Q g V H l w Z S 5 7 Q 2 9 s d W 1 u N T A s N D l 9 J n F 1 b 3 Q 7 X S w m c X V v d D t D b 2 x 1 b W 5 D b 3 V u d C Z x d W 9 0 O z o 1 M C w m c X V v d D t L Z X l D b 2 x 1 b W 5 O Y W 1 l c y Z x d W 9 0 O z p b X S w m c X V v d D t D b 2 x 1 b W 5 J Z G V u d G l 0 a W V z J n F 1 b 3 Q 7 O l s m c X V v d D t T Z W N 0 a W 9 u M S 9 N Y W l u L 0 N o Y W 5 n Z W Q g V H l w Z S 5 7 Q 2 9 s d W 1 u M S w w f S Z x d W 9 0 O y w m c X V v d D t T Z W N 0 a W 9 u M S 9 N Y W l u L 0 N o Y W 5 n Z W Q g V H l w Z S 5 7 Q 2 9 s d W 1 u M i w x f S Z x d W 9 0 O y w m c X V v d D t T Z W N 0 a W 9 u M S 9 N Y W l u L 0 N o Y W 5 n Z W Q g V H l w Z S 5 7 Q 2 9 s d W 1 u M y w y f S Z x d W 9 0 O y w m c X V v d D t T Z W N 0 a W 9 u M S 9 N Y W l u L 0 N o Y W 5 n Z W Q g V H l w Z S 5 7 Q 2 9 s d W 1 u N C w z f S Z x d W 9 0 O y w m c X V v d D t T Z W N 0 a W 9 u M S 9 N Y W l u L 0 N o Y W 5 n Z W Q g V H l w Z S 5 7 Q 2 9 s d W 1 u N S w 0 f S Z x d W 9 0 O y w m c X V v d D t T Z W N 0 a W 9 u M S 9 N Y W l u L 0 N o Y W 5 n Z W Q g V H l w Z S 5 7 Q 2 9 s d W 1 u N i w 1 f S Z x d W 9 0 O y w m c X V v d D t T Z W N 0 a W 9 u M S 9 N Y W l u L 0 N o Y W 5 n Z W Q g V H l w Z S 5 7 Q 2 9 s d W 1 u N y w 2 f S Z x d W 9 0 O y w m c X V v d D t T Z W N 0 a W 9 u M S 9 N Y W l u L 0 N o Y W 5 n Z W Q g V H l w Z S 5 7 Q 2 9 s d W 1 u O C w 3 f S Z x d W 9 0 O y w m c X V v d D t T Z W N 0 a W 9 u M S 9 N Y W l u L 0 N o Y W 5 n Z W Q g V H l w Z S 5 7 Q 2 9 s d W 1 u O S w 4 f S Z x d W 9 0 O y w m c X V v d D t T Z W N 0 a W 9 u M S 9 N Y W l u L 0 N o Y W 5 n Z W Q g V H l w Z S 5 7 Q 2 9 s d W 1 u M T A s O X 0 m c X V v d D s s J n F 1 b 3 Q 7 U 2 V j d G l v b j E v T W F p b i 9 D a G F u Z 2 V k I F R 5 c G U u e 0 N v b H V t b j E x L D E w f S Z x d W 9 0 O y w m c X V v d D t T Z W N 0 a W 9 u M S 9 N Y W l u L 0 N o Y W 5 n Z W Q g V H l w Z S 5 7 Q 2 9 s d W 1 u M T I s M T F 9 J n F 1 b 3 Q 7 L C Z x d W 9 0 O 1 N l Y 3 R p b 2 4 x L 0 1 h a W 4 v Q 2 h h b m d l Z C B U e X B l L n t D b 2 x 1 b W 4 x M y w x M n 0 m c X V v d D s s J n F 1 b 3 Q 7 U 2 V j d G l v b j E v T W F p b i 9 D a G F u Z 2 V k I F R 5 c G U u e 0 N v b H V t b j E 0 L D E z f S Z x d W 9 0 O y w m c X V v d D t T Z W N 0 a W 9 u M S 9 N Y W l u L 0 N o Y W 5 n Z W Q g V H l w Z S 5 7 Q 2 9 s d W 1 u M T U s M T R 9 J n F 1 b 3 Q 7 L C Z x d W 9 0 O 1 N l Y 3 R p b 2 4 x L 0 1 h a W 4 v Q 2 h h b m d l Z C B U e X B l L n t D b 2 x 1 b W 4 x N i w x N X 0 m c X V v d D s s J n F 1 b 3 Q 7 U 2 V j d G l v b j E v T W F p b i 9 D a G F u Z 2 V k I F R 5 c G U u e 0 N v b H V t b j E 3 L D E 2 f S Z x d W 9 0 O y w m c X V v d D t T Z W N 0 a W 9 u M S 9 N Y W l u L 0 N o Y W 5 n Z W Q g V H l w Z S 5 7 Q 2 9 s d W 1 u M T g s M T d 9 J n F 1 b 3 Q 7 L C Z x d W 9 0 O 1 N l Y 3 R p b 2 4 x L 0 1 h a W 4 v Q 2 h h b m d l Z C B U e X B l L n t D b 2 x 1 b W 4 x O S w x O H 0 m c X V v d D s s J n F 1 b 3 Q 7 U 2 V j d G l v b j E v T W F p b i 9 D a G F u Z 2 V k I F R 5 c G U u e 0 N v b H V t b j I w L D E 5 f S Z x d W 9 0 O y w m c X V v d D t T Z W N 0 a W 9 u M S 9 N Y W l u L 0 N o Y W 5 n Z W Q g V H l w Z S 5 7 Q 2 9 s d W 1 u M j E s M j B 9 J n F 1 b 3 Q 7 L C Z x d W 9 0 O 1 N l Y 3 R p b 2 4 x L 0 1 h a W 4 v Q 2 h h b m d l Z C B U e X B l L n t D b 2 x 1 b W 4 y M i w y M X 0 m c X V v d D s s J n F 1 b 3 Q 7 U 2 V j d G l v b j E v T W F p b i 9 D a G F u Z 2 V k I F R 5 c G U u e 0 N v b H V t b j I z L D I y f S Z x d W 9 0 O y w m c X V v d D t T Z W N 0 a W 9 u M S 9 N Y W l u L 0 N o Y W 5 n Z W Q g V H l w Z S 5 7 Q 2 9 s d W 1 u M j Q s M j N 9 J n F 1 b 3 Q 7 L C Z x d W 9 0 O 1 N l Y 3 R p b 2 4 x L 0 1 h a W 4 v Q 2 h h b m d l Z C B U e X B l L n t D b 2 x 1 b W 4 y N S w y N H 0 m c X V v d D s s J n F 1 b 3 Q 7 U 2 V j d G l v b j E v T W F p b i 9 D a G F u Z 2 V k I F R 5 c G U u e 0 N v b H V t b j I 2 L D I 1 f S Z x d W 9 0 O y w m c X V v d D t T Z W N 0 a W 9 u M S 9 N Y W l u L 0 N o Y W 5 n Z W Q g V H l w Z S 5 7 Q 2 9 s d W 1 u M j c s M j Z 9 J n F 1 b 3 Q 7 L C Z x d W 9 0 O 1 N l Y 3 R p b 2 4 x L 0 1 h a W 4 v Q 2 h h b m d l Z C B U e X B l L n t D b 2 x 1 b W 4 y O C w y N 3 0 m c X V v d D s s J n F 1 b 3 Q 7 U 2 V j d G l v b j E v T W F p b i 9 D a G F u Z 2 V k I F R 5 c G U u e 0 N v b H V t b j I 5 L D I 4 f S Z x d W 9 0 O y w m c X V v d D t T Z W N 0 a W 9 u M S 9 N Y W l u L 0 N o Y W 5 n Z W Q g V H l w Z S 5 7 Q 2 9 s d W 1 u M z A s M j l 9 J n F 1 b 3 Q 7 L C Z x d W 9 0 O 1 N l Y 3 R p b 2 4 x L 0 1 h a W 4 v Q 2 h h b m d l Z C B U e X B l L n t D b 2 x 1 b W 4 z M S w z M H 0 m c X V v d D s s J n F 1 b 3 Q 7 U 2 V j d G l v b j E v T W F p b i 9 D a G F u Z 2 V k I F R 5 c G U u e 0 N v b H V t b j M y L D M x f S Z x d W 9 0 O y w m c X V v d D t T Z W N 0 a W 9 u M S 9 N Y W l u L 0 N o Y W 5 n Z W Q g V H l w Z S 5 7 Q 2 9 s d W 1 u M z M s M z J 9 J n F 1 b 3 Q 7 L C Z x d W 9 0 O 1 N l Y 3 R p b 2 4 x L 0 1 h a W 4 v Q 2 h h b m d l Z C B U e X B l L n t D b 2 x 1 b W 4 z N C w z M 3 0 m c X V v d D s s J n F 1 b 3 Q 7 U 2 V j d G l v b j E v T W F p b i 9 D a G F u Z 2 V k I F R 5 c G U u e 0 N v b H V t b j M 1 L D M 0 f S Z x d W 9 0 O y w m c X V v d D t T Z W N 0 a W 9 u M S 9 N Y W l u L 0 N o Y W 5 n Z W Q g V H l w Z S 5 7 Q 2 9 s d W 1 u M z Y s M z V 9 J n F 1 b 3 Q 7 L C Z x d W 9 0 O 1 N l Y 3 R p b 2 4 x L 0 1 h a W 4 v Q 2 h h b m d l Z C B U e X B l L n t D b 2 x 1 b W 4 z N y w z N n 0 m c X V v d D s s J n F 1 b 3 Q 7 U 2 V j d G l v b j E v T W F p b i 9 D a G F u Z 2 V k I F R 5 c G U u e 0 N v b H V t b j M 4 L D M 3 f S Z x d W 9 0 O y w m c X V v d D t T Z W N 0 a W 9 u M S 9 N Y W l u L 0 N o Y W 5 n Z W Q g V H l w Z S 5 7 Q 2 9 s d W 1 u M z k s M z h 9 J n F 1 b 3 Q 7 L C Z x d W 9 0 O 1 N l Y 3 R p b 2 4 x L 0 1 h a W 4 v Q 2 h h b m d l Z C B U e X B l L n t D b 2 x 1 b W 4 0 M C w z O X 0 m c X V v d D s s J n F 1 b 3 Q 7 U 2 V j d G l v b j E v T W F p b i 9 D a G F u Z 2 V k I F R 5 c G U u e 0 N v b H V t b j Q x L D Q w f S Z x d W 9 0 O y w m c X V v d D t T Z W N 0 a W 9 u M S 9 N Y W l u L 0 N o Y W 5 n Z W Q g V H l w Z S 5 7 Q 2 9 s d W 1 u N D I s N D F 9 J n F 1 b 3 Q 7 L C Z x d W 9 0 O 1 N l Y 3 R p b 2 4 x L 0 1 h a W 4 v Q 2 h h b m d l Z C B U e X B l L n t D b 2 x 1 b W 4 0 M y w 0 M n 0 m c X V v d D s s J n F 1 b 3 Q 7 U 2 V j d G l v b j E v T W F p b i 9 D a G F u Z 2 V k I F R 5 c G U u e 0 N v b H V t b j Q 0 L D Q z f S Z x d W 9 0 O y w m c X V v d D t T Z W N 0 a W 9 u M S 9 N Y W l u L 0 N o Y W 5 n Z W Q g V H l w Z S 5 7 Q 2 9 s d W 1 u N D U s N D R 9 J n F 1 b 3 Q 7 L C Z x d W 9 0 O 1 N l Y 3 R p b 2 4 x L 0 1 h a W 4 v Q 2 h h b m d l Z C B U e X B l L n t D b 2 x 1 b W 4 0 N i w 0 N X 0 m c X V v d D s s J n F 1 b 3 Q 7 U 2 V j d G l v b j E v T W F p b i 9 D a G F u Z 2 V k I F R 5 c G U u e 0 N v b H V t b j Q 3 L D Q 2 f S Z x d W 9 0 O y w m c X V v d D t T Z W N 0 a W 9 u M S 9 N Y W l u L 0 N o Y W 5 n Z W Q g V H l w Z S 5 7 Q 2 9 s d W 1 u N D g s N D d 9 J n F 1 b 3 Q 7 L C Z x d W 9 0 O 1 N l Y 3 R p b 2 4 x L 0 1 h a W 4 v Q 2 h h b m d l Z C B U e X B l L n t D b 2 x 1 b W 4 0 O S w 0 O H 0 m c X V v d D s s J n F 1 b 3 Q 7 U 2 V j d G l v b j E v T W F p b i 9 D a G F u Z 2 V k I F R 5 c G U u e 0 N v b H V t b j U w L D Q 5 f S Z x d W 9 0 O 1 0 s J n F 1 b 3 Q 7 U m V s Y X R p b 2 5 z a G l w S W 5 m b y Z x d W 9 0 O z p b X X 0 i I C 8 + P C 9 T d G F i b G V F b n R y a W V z P j w v S X R l b T 4 8 S X R l b T 4 8 S X R l b U x v Y 2 F 0 a W 9 u P j x J d G V t V H l w Z T 5 G b 3 J t d W x h P C 9 J d G V t V H l w Z T 4 8 S X R l b V B h d G g + U 2 V j d G l v b j E v T W F p b i 9 T b 3 V y Y 2 U 8 L 0 l 0 Z W 1 Q Y X R o P j w v S X R l b U x v Y 2 F 0 a W 9 u P j x T d G F i b G V F b n R y a W V z I C 8 + P C 9 J d G V t P j x J d G V t P j x J d G V t T G 9 j Y X R p b 2 4 + P E l 0 Z W 1 U e X B l P k Z v c m 1 1 b G E 8 L 0 l 0 Z W 1 U e X B l P j x J d G V t U G F 0 a D 5 T Z W N 0 a W 9 u M S 9 N Y W l u L 0 1 h a W 5 f U 2 h l Z X Q 8 L 0 l 0 Z W 1 Q Y X R o P j w v S X R l b U x v Y 2 F 0 a W 9 u P j x T d G F i b G V F b n R y a W V z I C 8 + P C 9 J d G V t P j x J d G V t P j x J d G V t T G 9 j Y X R p b 2 4 + P E l 0 Z W 1 U e X B l P k Z v c m 1 1 b G E 8 L 0 l 0 Z W 1 U e X B l P j x J d G V t U G F 0 a D 5 T Z W N 0 a W 9 u M S 9 N Y W l u L 0 N o Y W 5 n Z W Q l M j B U e X B l P C 9 J d G V t U G F 0 a D 4 8 L 0 l 0 Z W 1 M b 2 N h d G l v b j 4 8 U 3 R h Y m x l R W 5 0 c m l l c y A v P j w v S X R l b T 4 8 S X R l b T 4 8 S X R l b U x v Y 2 F 0 a W 9 u P j x J d G V t V H l w Z T 5 G b 3 J t d W x h P C 9 J d G V t V H l w Z T 4 8 S X R l b V B h d G g + U 2 V j d G l v b j E v T 3 V 0 c H V 0 P C 9 J d G V t U G F 0 a D 4 8 L 0 l 0 Z W 1 M b 2 N h d G l v b j 4 8 U 3 R h Y m x l R W 5 0 c m l l c z 4 8 R W 5 0 c n k g V H l w Z T 0 i S X N Q c m l 2 Y X R l I i B W Y W x 1 Z T 0 i b D A i I C 8 + P E V u d H J 5 I F R 5 c G U 9 I l F 1 Z X J 5 S U Q i I F Z h b H V l P S J z M m J m Z j Q 2 O W U t N G F m Z C 0 0 M j M x L T g 3 M T A t M W I 5 Z D V i N T J i N j d l 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O Y W 1 l V X B k Y X R l Z E F m d G V y R m l s b C I g V m F s d W U 9 I m w w I i A v P j x F b n R y e S B U e X B l P S J G a W x s Z W R D b 2 1 w b G V 0 Z V J l c 3 V s d F R v V 2 9 y a 3 N o Z W V 0 I i B W Y W x 1 Z T 0 i b D A i I C 8 + P E V u d H J 5 I F R 5 c G U 9 I k F k Z G V k V G 9 E Y X R h T W 9 k Z W w i I F Z h b H V l P S J s M S I g L z 4 8 R W 5 0 c n k g V H l w Z T 0 i R m l s b E N v d W 5 0 I i B W Y W x 1 Z T 0 i b D Y w I i A v P j x F b n R y e S B U e X B l P S J G a W x s R X J y b 3 J D b 2 R l I i B W Y W x 1 Z T 0 i c 1 V u a 2 5 v d 2 4 i I C 8 + P E V u d H J 5 I F R 5 c G U 9 I k Z p b G x F c n J v c k N v d W 5 0 I i B W Y W x 1 Z T 0 i b D A i I C 8 + P E V u d H J 5 I F R 5 c G U 9 I k Z p b G x M Y X N 0 V X B k Y X R l Z C I g V m F s d W U 9 I m Q y M D I 0 L T A 3 L T I 5 V D A 4 O j Q 4 O j U 0 L j U 0 N D g w O T B a I i A v P j x F b n R y e S B U e X B l P S J G a W x s Q 2 9 s d W 1 u V H l w Z X M i I F Z h b H V l P S J z Q m d B Q U F B Q U F B Q U F B Q U F B Q U F B Q T 0 i I C 8 + P E V u d H J 5 I F R 5 c G U 9 I k Z p b G x D b 2 x 1 b W 5 O Y W 1 l c y I g V m F s d W U 9 I n N b J n F 1 b 3 Q 7 Q 2 9 s d W 1 u M S Z x d W 9 0 O y w m c X V v d D t C Q V R U R V J Z I F N J T k d M R S Z x d W 9 0 O y w m c X V v d D t C Q V R U R V J J R V M g V E 9 U Q U w m c X V v d D s s J n F 1 b 3 Q 7 Q k F U V E V S S U V T I F R P V E F M I E x J R k V U S U 1 F J n F 1 b 3 Q 7 L C Z x d W 9 0 O 1 B W I G 0 y J n F 1 b 3 Q 7 L C Z x d W 9 0 O 1 B W I F N J T k d M R S Z x d W 9 0 O y w m c X V v d D t Q V i B U T 1 R B T C Z x d W 9 0 O y w m c X V v d D t Q V i B U T 1 R B T C B M S U Z F V E l N R S Z x d W 9 0 O y w m c X V v d D t D T 0 9 M S U 5 H I D E w a 2 c m c X V v d D s s J n F 1 b 3 Q 7 Q 0 9 P T E l O R y B T S U 5 H T E U m c X V v d D s s J n F 1 b 3 Q 7 Q 0 9 P T E l O R y B U T 1 R B T C Z x d W 9 0 O y w m c X V v d D t D T 0 9 M S U 5 H I F R P V E F M I E x J R k V U S U 1 F J n F 1 b 3 Q 7 L C Z x d W 9 0 O 0 N v b H V t b j E z J n F 1 b 3 Q 7 L C Z x d W 9 0 O 0 x J R k V U S U 1 F I F R P V E F M I F J F U 1 V M V C Z x d W 9 0 O 1 0 i I C 8 + P E V u d H J 5 I F R 5 c G U 9 I k Z p b G x T d G F 0 d X M i I F Z h b H V l P S J z Q 2 9 t c G x l d G U i I C 8 + P E V u d H J 5 I F R 5 c G U 9 I l J l b G F 0 a W 9 u c 2 h p c E l u Z m 9 D b 2 5 0 Y W l u Z X I i I F Z h b H V l P S J z e y Z x d W 9 0 O 2 N v b H V t b k N v d W 5 0 J n F 1 b 3 Q 7 O j E 0 L C Z x d W 9 0 O 2 t l e U N v b H V t b k 5 h b W V z J n F 1 b 3 Q 7 O l t d L C Z x d W 9 0 O 3 F 1 Z X J 5 U m V s Y X R p b 2 5 z a G l w c y Z x d W 9 0 O z p b X S w m c X V v d D t j b 2 x 1 b W 5 J Z G V u d G l 0 a W V z J n F 1 b 3 Q 7 O l s m c X V v d D t T Z W N 0 a W 9 u M S 9 P d X R w d X Q v Q 2 h h b m d l Z C B U e X B l L n t D b 2 x 1 b W 4 x L D B 9 J n F 1 b 3 Q 7 L C Z x d W 9 0 O 1 N l Y 3 R p b 2 4 x L 0 9 1 d H B 1 d C 9 D a G F u Z 2 V k I F R 5 c G U u e 0 J B V F R F U l k g U 0 l O R 0 x F L D F 9 J n F 1 b 3 Q 7 L C Z x d W 9 0 O 1 N l Y 3 R p b 2 4 x L 0 9 1 d H B 1 d C 9 D a G F u Z 2 V k I F R 5 c G U u e 0 J B V F R F U k l F U y B U T 1 R B T C w y f S Z x d W 9 0 O y w m c X V v d D t T Z W N 0 a W 9 u M S 9 P d X R w d X Q v Q 2 h h b m d l Z C B U e X B l L n t C Q V R U R V J J R V M g V E 9 U Q U w g T E l G R V R J T U U s M 3 0 m c X V v d D s s J n F 1 b 3 Q 7 U 2 V j d G l v b j E v T 3 V 0 c H V 0 L 0 N o Y W 5 n Z W Q g V H l w Z S 5 7 U F Y g b T I s N H 0 m c X V v d D s s J n F 1 b 3 Q 7 U 2 V j d G l v b j E v T 3 V 0 c H V 0 L 0 N o Y W 5 n Z W Q g V H l w Z S 5 7 U F Y g U 0 l O R 0 x F L D V 9 J n F 1 b 3 Q 7 L C Z x d W 9 0 O 1 N l Y 3 R p b 2 4 x L 0 9 1 d H B 1 d C 9 D a G F u Z 2 V k I F R 5 c G U u e 1 B W I F R P V E F M L D Z 9 J n F 1 b 3 Q 7 L C Z x d W 9 0 O 1 N l Y 3 R p b 2 4 x L 0 9 1 d H B 1 d C 9 D a G F u Z 2 V k I F R 5 c G U u e 1 B W I F R P V E F M I E x J R k V U S U 1 F L D d 9 J n F 1 b 3 Q 7 L C Z x d W 9 0 O 1 N l Y 3 R p b 2 4 x L 0 9 1 d H B 1 d C 9 D a G F u Z 2 V k I F R 5 c G U u e 0 N P T 0 x J T k c g M T B r Z y w 4 f S Z x d W 9 0 O y w m c X V v d D t T Z W N 0 a W 9 u M S 9 P d X R w d X Q v Q 2 h h b m d l Z C B U e X B l L n t D T 0 9 M S U 5 H I F N J T k d M R S w 5 f S Z x d W 9 0 O y w m c X V v d D t T Z W N 0 a W 9 u M S 9 P d X R w d X Q v Q 2 h h b m d l Z C B U e X B l L n t D T 0 9 M S U 5 H I F R P V E F M L D E w f S Z x d W 9 0 O y w m c X V v d D t T Z W N 0 a W 9 u M S 9 P d X R w d X Q v Q 2 h h b m d l Z C B U e X B l L n t D T 0 9 M S U 5 H I F R P V E F M I E x J R k V U S U 1 F L D E x f S Z x d W 9 0 O y w m c X V v d D t T Z W N 0 a W 9 u M S 9 P d X R w d X Q v Q 2 h h b m d l Z C B U e X B l L n t D b 2 x 1 b W 4 x M y w x M n 0 m c X V v d D s s J n F 1 b 3 Q 7 U 2 V j d G l v b j E v T 3 V 0 c H V 0 L 0 N o Y W 5 n Z W Q g V H l w Z S 5 7 T E l G R V R J T U U g V E 9 U Q U w g U k V T V U x U L D E z f S Z x d W 9 0 O 1 0 s J n F 1 b 3 Q 7 Q 2 9 s d W 1 u Q 2 9 1 b n Q m c X V v d D s 6 M T Q s J n F 1 b 3 Q 7 S 2 V 5 Q 2 9 s d W 1 u T m F t Z X M m c X V v d D s 6 W 1 0 s J n F 1 b 3 Q 7 Q 2 9 s d W 1 u S W R l b n R p d G l l c y Z x d W 9 0 O z p b J n F 1 b 3 Q 7 U 2 V j d G l v b j E v T 3 V 0 c H V 0 L 0 N o Y W 5 n Z W Q g V H l w Z S 5 7 Q 2 9 s d W 1 u M S w w f S Z x d W 9 0 O y w m c X V v d D t T Z W N 0 a W 9 u M S 9 P d X R w d X Q v Q 2 h h b m d l Z C B U e X B l L n t C Q V R U R V J Z I F N J T k d M R S w x f S Z x d W 9 0 O y w m c X V v d D t T Z W N 0 a W 9 u M S 9 P d X R w d X Q v Q 2 h h b m d l Z C B U e X B l L n t C Q V R U R V J J R V M g V E 9 U Q U w s M n 0 m c X V v d D s s J n F 1 b 3 Q 7 U 2 V j d G l v b j E v T 3 V 0 c H V 0 L 0 N o Y W 5 n Z W Q g V H l w Z S 5 7 Q k F U V E V S S U V T I F R P V E F M I E x J R k V U S U 1 F L D N 9 J n F 1 b 3 Q 7 L C Z x d W 9 0 O 1 N l Y 3 R p b 2 4 x L 0 9 1 d H B 1 d C 9 D a G F u Z 2 V k I F R 5 c G U u e 1 B W I G 0 y L D R 9 J n F 1 b 3 Q 7 L C Z x d W 9 0 O 1 N l Y 3 R p b 2 4 x L 0 9 1 d H B 1 d C 9 D a G F u Z 2 V k I F R 5 c G U u e 1 B W I F N J T k d M R S w 1 f S Z x d W 9 0 O y w m c X V v d D t T Z W N 0 a W 9 u M S 9 P d X R w d X Q v Q 2 h h b m d l Z C B U e X B l L n t Q V i B U T 1 R B T C w 2 f S Z x d W 9 0 O y w m c X V v d D t T Z W N 0 a W 9 u M S 9 P d X R w d X Q v Q 2 h h b m d l Z C B U e X B l L n t Q V i B U T 1 R B T C B M S U Z F V E l N R S w 3 f S Z x d W 9 0 O y w m c X V v d D t T Z W N 0 a W 9 u M S 9 P d X R w d X Q v Q 2 h h b m d l Z C B U e X B l L n t D T 0 9 M S U 5 H I D E w a 2 c s O H 0 m c X V v d D s s J n F 1 b 3 Q 7 U 2 V j d G l v b j E v T 3 V 0 c H V 0 L 0 N o Y W 5 n Z W Q g V H l w Z S 5 7 Q 0 9 P T E l O R y B T S U 5 H T E U s O X 0 m c X V v d D s s J n F 1 b 3 Q 7 U 2 V j d G l v b j E v T 3 V 0 c H V 0 L 0 N o Y W 5 n Z W Q g V H l w Z S 5 7 Q 0 9 P T E l O R y B U T 1 R B T C w x M H 0 m c X V v d D s s J n F 1 b 3 Q 7 U 2 V j d G l v b j E v T 3 V 0 c H V 0 L 0 N o Y W 5 n Z W Q g V H l w Z S 5 7 Q 0 9 P T E l O R y B U T 1 R B T C B M S U Z F V E l N R S w x M X 0 m c X V v d D s s J n F 1 b 3 Q 7 U 2 V j d G l v b j E v T 3 V 0 c H V 0 L 0 N o Y W 5 n Z W Q g V H l w Z S 5 7 Q 2 9 s d W 1 u M T M s M T J 9 J n F 1 b 3 Q 7 L C Z x d W 9 0 O 1 N l Y 3 R p b 2 4 x L 0 9 1 d H B 1 d C 9 D a G F u Z 2 V k I F R 5 c G U u e 0 x J R k V U S U 1 F I F R P V E F M I F J F U 1 V M V C w x M 3 0 m c X V v d D t d L C Z x d W 9 0 O 1 J l b G F 0 a W 9 u c 2 h p c E l u Z m 8 m c X V v d D s 6 W 1 1 9 I i A v P j w v U 3 R h Y m x l R W 5 0 c m l l c z 4 8 L 0 l 0 Z W 0 + P E l 0 Z W 0 + P E l 0 Z W 1 M b 2 N h d G l v b j 4 8 S X R l b V R 5 c G U + R m 9 y b X V s Y T w v S X R l b V R 5 c G U + P E l 0 Z W 1 Q Y X R o P l N l Y 3 R p b 2 4 x L 0 9 1 d H B 1 d C 9 T b 3 V y Y 2 U 8 L 0 l 0 Z W 1 Q Y X R o P j w v S X R l b U x v Y 2 F 0 a W 9 u P j x T d G F i b G V F b n R y a W V z I C 8 + P C 9 J d G V t P j x J d G V t P j x J d G V t T G 9 j Y X R p b 2 4 + P E l 0 Z W 1 U e X B l P k Z v c m 1 1 b G E 8 L 0 l 0 Z W 1 U e X B l P j x J d G V t U G F 0 a D 5 T Z W N 0 a W 9 u M S 9 P d X R w d X Q v T 3 V 0 c H V 0 X 1 N o Z W V 0 P C 9 J d G V t U G F 0 a D 4 8 L 0 l 0 Z W 1 M b 2 N h d G l v b j 4 8 U 3 R h Y m x l R W 5 0 c m l l c y A v P j w v S X R l b T 4 8 S X R l b T 4 8 S X R l b U x v Y 2 F 0 a W 9 u P j x J d G V t V H l w Z T 5 G b 3 J t d W x h P C 9 J d G V t V H l w Z T 4 8 S X R l b V B h d G g + U 2 V j d G l v b j E v T 3 V 0 c H V 0 L 1 B y b 2 1 v d G V k J T I w S G V h Z G V y c z w v S X R l b V B h d G g + P C 9 J d G V t T G 9 j Y X R p b 2 4 + P F N 0 Y W J s Z U V u d H J p Z X M g L z 4 8 L 0 l 0 Z W 0 + P E l 0 Z W 0 + P E l 0 Z W 1 M b 2 N h d G l v b j 4 8 S X R l b V R 5 c G U + R m 9 y b X V s Y T w v S X R l b V R 5 c G U + P E l 0 Z W 1 Q Y X R o P l N l Y 3 R p b 2 4 x L 0 9 1 d H B 1 d C 9 D a G F u Z 2 V k J T I w V H l w Z T w v S X R l b V B h d G g + P C 9 J d G V t T G 9 j Y X R p b 2 4 + P F N 0 Y W J s Z U V u d H J p Z X M g L z 4 8 L 0 l 0 Z W 0 + P E l 0 Z W 0 + P E l 0 Z W 1 M b 2 N h d G l v b j 4 8 S X R l b V R 5 c G U + R m 9 y b X V s Y T w v S X R l b V R 5 c G U + P E l 0 Z W 1 Q Y X R o P l N l Y 3 R p b 2 4 x L 1 B W P C 9 J d G V t U G F 0 a D 4 8 L 0 l 0 Z W 1 M b 2 N h d G l v b j 4 8 U 3 R h Y m x l R W 5 0 c m l l c z 4 8 R W 5 0 c n k g V H l w Z T 0 i S X N Q c m l 2 Y X R l I i B W Y W x 1 Z T 0 i b D A i I C 8 + P E V u d H J 5 I F R 5 c G U 9 I l F 1 Z X J 5 S U Q i I F Z h b H V l P S J z O W E 3 Y 2 J l M W U t Z T c 3 O C 0 0 N 2 Q y L T h k O W E t M W F i O G Q y Y 2 E 0 Y j k 4 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O Y W 1 l V X B k Y X R l Z E F m d G V y R m l s b C I g V m F s d W U 9 I m w w I i A v P j x F b n R y e S B U e X B l P S J G a W x s Z W R D b 2 1 w b G V 0 Z V J l c 3 V s d F R v V 2 9 y a 3 N o Z W V 0 I i B W Y W x 1 Z T 0 i b D A i I C 8 + P E V u d H J 5 I F R 5 c G U 9 I k F k Z G V k V G 9 E Y X R h T W 9 k Z W w i I F Z h b H V l P S J s M S I g L z 4 8 R W 5 0 c n k g V H l w Z T 0 i R m l s b E N v d W 5 0 I i B W Y W x 1 Z T 0 i b D U w I i A v P j x F b n R y e S B U e X B l P S J G a W x s R X J y b 3 J D b 2 R l I i B W Y W x 1 Z T 0 i c 1 V u a 2 5 v d 2 4 i I C 8 + P E V u d H J 5 I F R 5 c G U 9 I k Z p b G x F c n J v c k N v d W 5 0 I i B W Y W x 1 Z T 0 i b D A i I C 8 + P E V u d H J 5 I F R 5 c G U 9 I k Z p b G x M Y X N 0 V X B k Y X R l Z C I g V m F s d W U 9 I m Q y M D I 0 L T A 3 L T I 5 V D A 4 O j Q 4 O j U 0 L j U 3 M z M 2 M T J a I i A v P j x F b n R y e S B U e X B l P S J G a W x s Q 2 9 s d W 1 u V H l w Z X M i I F Z h b H V l P S J z Q m d B Q U F B V U F C Z 0 F B Q m d Z Q U F B P T 0 i I C 8 + P E V u d H J 5 I F R 5 c G U 9 I k Z p b G x D b 2 x 1 b W 5 O Y W 1 l c y I g V m F s d W U 9 I n N b J n F 1 b 3 Q 7 T m F t Z S Z x d W 9 0 O y w m c X V v d D t F Y 2 9 p b n Z l b n Q g Q 0 l T J n F 1 b 3 Q 7 L C Z x d W 9 0 O 0 V j b 2 l u d m V u d C B t d W x 0 a S 1 T a S B 3 Y W Z l c i Z x d W 9 0 O y w m c X V v d D t F Y 2 9 p b n Z l b n Q g c 2 l u Z 2 x l L V N p I H d h Z m V y J n F 1 b 3 Q 7 L C Z x d W 9 0 O 0 Z 1 d H V y Y X N 1 b i B G V S 0 0 M D A g U 2 l s a y Z x d W 9 0 O y w m c X V v d D t V b m l 0 J n F 1 b 3 Q 7 L C Z x d W 9 0 O 0 N v b H V t b j c m c X V v d D s s J n F 1 b 3 Q 7 Q 2 9 s d W 1 u O C Z x d W 9 0 O y w m c X V v d D t D b 2 x 1 b W 4 5 J n F 1 b 3 Q 7 L C Z x d W 9 0 O 0 N v b H V t b j E w J n F 1 b 3 Q 7 L C Z x d W 9 0 O 0 N v b H V t b j E x J n F 1 b 3 Q 7 L C Z x d W 9 0 O 0 N v b H V t b j E y J n F 1 b 3 Q 7 L C Z x d W 9 0 O 0 N v b H V t b j E z J n F 1 b 3 Q 7 X S I g L z 4 8 R W 5 0 c n k g V H l w Z T 0 i R m l s b F N 0 Y X R 1 c y I g V m F s d W U 9 I n N D b 2 1 w b G V 0 Z S I g L z 4 8 R W 5 0 c n k g V H l w Z T 0 i U m V s Y X R p b 2 5 z a G l w S W 5 m b 0 N v b n R h a W 5 l c i I g V m F s d W U 9 I n N 7 J n F 1 b 3 Q 7 Y 2 9 s d W 1 u Q 2 9 1 b n Q m c X V v d D s 6 M T M s J n F 1 b 3 Q 7 a 2 V 5 Q 2 9 s d W 1 u T m F t Z X M m c X V v d D s 6 W 1 0 s J n F 1 b 3 Q 7 c X V l c n l S Z W x h d G l v b n N o a X B z J n F 1 b 3 Q 7 O l t d L C Z x d W 9 0 O 2 N v b H V t b k l k Z W 5 0 a X R p Z X M m c X V v d D s 6 W y Z x d W 9 0 O 1 N l Y 3 R p b 2 4 x L 1 B W L 0 N o Y W 5 n Z W Q g V H l w Z S 5 7 T m F t Z S w w f S Z x d W 9 0 O y w m c X V v d D t T Z W N 0 a W 9 u M S 9 Q V i 9 D a G F u Z 2 V k I F R 5 c G U u e 0 V j b 2 l u d m V u d C B D S V M s M X 0 m c X V v d D s s J n F 1 b 3 Q 7 U 2 V j d G l v b j E v U F Y v Q 2 h h b m d l Z C B U e X B l L n t F Y 2 9 p b n Z l b n Q g b X V s d G k t U 2 k g d 2 F m Z X I s M n 0 m c X V v d D s s J n F 1 b 3 Q 7 U 2 V j d G l v b j E v U F Y v Q 2 h h b m d l Z C B U e X B l L n t F Y 2 9 p b n Z l b n Q g c 2 l u Z 2 x l L V N p I H d h Z m V y L D N 9 J n F 1 b 3 Q 7 L C Z x d W 9 0 O 1 N l Y 3 R p b 2 4 x L 1 B W L 0 N o Y W 5 n Z W Q g V H l w Z S 5 7 R n V 0 d X J h c 3 V u I E Z V L T Q w M C B T a W x r L D R 9 J n F 1 b 3 Q 7 L C Z x d W 9 0 O 1 N l Y 3 R p b 2 4 x L 1 B W L 0 N o Y W 5 n Z W Q g V H l w Z S 5 7 V W 5 p d C w 1 f S Z x d W 9 0 O y w m c X V v d D t T Z W N 0 a W 9 u M S 9 Q V i 9 D a G F u Z 2 V k I F R 5 c G U u e 0 N v b H V t b j c s N n 0 m c X V v d D s s J n F 1 b 3 Q 7 U 2 V j d G l v b j E v U F Y v Q 2 h h b m d l Z C B U e X B l L n t D b 2 x 1 b W 4 4 L D d 9 J n F 1 b 3 Q 7 L C Z x d W 9 0 O 1 N l Y 3 R p b 2 4 x L 1 B W L 0 N o Y W 5 n Z W Q g V H l w Z S 5 7 Q 2 9 s d W 1 u O S w 4 f S Z x d W 9 0 O y w m c X V v d D t T Z W N 0 a W 9 u M S 9 Q V i 9 D a G F u Z 2 V k I F R 5 c G U u e 0 N v b H V t b j E w L D l 9 J n F 1 b 3 Q 7 L C Z x d W 9 0 O 1 N l Y 3 R p b 2 4 x L 1 B W L 0 N o Y W 5 n Z W Q g V H l w Z S 5 7 Q 2 9 s d W 1 u M T E s M T B 9 J n F 1 b 3 Q 7 L C Z x d W 9 0 O 1 N l Y 3 R p b 2 4 x L 1 B W L 0 N o Y W 5 n Z W Q g V H l w Z S 5 7 Q 2 9 s d W 1 u M T I s M T F 9 J n F 1 b 3 Q 7 L C Z x d W 9 0 O 1 N l Y 3 R p b 2 4 x L 1 B W L 0 N o Y W 5 n Z W Q g V H l w Z S 5 7 Q 2 9 s d W 1 u M T M s M T J 9 J n F 1 b 3 Q 7 X S w m c X V v d D t D b 2 x 1 b W 5 D b 3 V u d C Z x d W 9 0 O z o x M y w m c X V v d D t L Z X l D b 2 x 1 b W 5 O Y W 1 l c y Z x d W 9 0 O z p b X S w m c X V v d D t D b 2 x 1 b W 5 J Z G V u d G l 0 a W V z J n F 1 b 3 Q 7 O l s m c X V v d D t T Z W N 0 a W 9 u M S 9 Q V i 9 D a G F u Z 2 V k I F R 5 c G U u e 0 5 h b W U s M H 0 m c X V v d D s s J n F 1 b 3 Q 7 U 2 V j d G l v b j E v U F Y v Q 2 h h b m d l Z C B U e X B l L n t F Y 2 9 p b n Z l b n Q g Q 0 l T L D F 9 J n F 1 b 3 Q 7 L C Z x d W 9 0 O 1 N l Y 3 R p b 2 4 x L 1 B W L 0 N o Y W 5 n Z W Q g V H l w Z S 5 7 R W N v a W 5 2 Z W 5 0 I G 1 1 b H R p L V N p I H d h Z m V y L D J 9 J n F 1 b 3 Q 7 L C Z x d W 9 0 O 1 N l Y 3 R p b 2 4 x L 1 B W L 0 N o Y W 5 n Z W Q g V H l w Z S 5 7 R W N v a W 5 2 Z W 5 0 I H N p b m d s Z S 1 T a S B 3 Y W Z l c i w z f S Z x d W 9 0 O y w m c X V v d D t T Z W N 0 a W 9 u M S 9 Q V i 9 D a G F u Z 2 V k I F R 5 c G U u e 0 Z 1 d H V y Y X N 1 b i B G V S 0 0 M D A g U 2 l s a y w 0 f S Z x d W 9 0 O y w m c X V v d D t T Z W N 0 a W 9 u M S 9 Q V i 9 D a G F u Z 2 V k I F R 5 c G U u e 1 V u a X Q s N X 0 m c X V v d D s s J n F 1 b 3 Q 7 U 2 V j d G l v b j E v U F Y v Q 2 h h b m d l Z C B U e X B l L n t D b 2 x 1 b W 4 3 L D Z 9 J n F 1 b 3 Q 7 L C Z x d W 9 0 O 1 N l Y 3 R p b 2 4 x L 1 B W L 0 N o Y W 5 n Z W Q g V H l w Z S 5 7 Q 2 9 s d W 1 u O C w 3 f S Z x d W 9 0 O y w m c X V v d D t T Z W N 0 a W 9 u M S 9 Q V i 9 D a G F u Z 2 V k I F R 5 c G U u e 0 N v b H V t b j k s O H 0 m c X V v d D s s J n F 1 b 3 Q 7 U 2 V j d G l v b j E v U F Y v Q 2 h h b m d l Z C B U e X B l L n t D b 2 x 1 b W 4 x M C w 5 f S Z x d W 9 0 O y w m c X V v d D t T Z W N 0 a W 9 u M S 9 Q V i 9 D a G F u Z 2 V k I F R 5 c G U u e 0 N v b H V t b j E x L D E w f S Z x d W 9 0 O y w m c X V v d D t T Z W N 0 a W 9 u M S 9 Q V i 9 D a G F u Z 2 V k I F R 5 c G U u e 0 N v b H V t b j E y L D E x f S Z x d W 9 0 O y w m c X V v d D t T Z W N 0 a W 9 u M S 9 Q V i 9 D a G F u Z 2 V k I F R 5 c G U u e 0 N v b H V t b j E z L D E y f S Z x d W 9 0 O 1 0 s J n F 1 b 3 Q 7 U m V s Y X R p b 2 5 z a G l w S W 5 m b y Z x d W 9 0 O z p b X X 0 i I C 8 + P C 9 T d G F i b G V F b n R y a W V z P j w v S X R l b T 4 8 S X R l b T 4 8 S X R l b U x v Y 2 F 0 a W 9 u P j x J d G V t V H l w Z T 5 G b 3 J t d W x h P C 9 J d G V t V H l w Z T 4 8 S X R l b V B h d G g + U 2 V j d G l v b j E v U F Y v U 2 9 1 c m N l P C 9 J d G V t U G F 0 a D 4 8 L 0 l 0 Z W 1 M b 2 N h d G l v b j 4 8 U 3 R h Y m x l R W 5 0 c m l l c y A v P j w v S X R l b T 4 8 S X R l b T 4 8 S X R l b U x v Y 2 F 0 a W 9 u P j x J d G V t V H l w Z T 5 G b 3 J t d W x h P C 9 J d G V t V H l w Z T 4 8 S X R l b V B h d G g + U 2 V j d G l v b j E v U F Y v U F Z f U 2 h l Z X Q 8 L 0 l 0 Z W 1 Q Y X R o P j w v S X R l b U x v Y 2 F 0 a W 9 u P j x T d G F i b G V F b n R y a W V z I C 8 + P C 9 J d G V t P j x J d G V t P j x J d G V t T G 9 j Y X R p b 2 4 + P E l 0 Z W 1 U e X B l P k Z v c m 1 1 b G E 8 L 0 l 0 Z W 1 U e X B l P j x J d G V t U G F 0 a D 5 T Z W N 0 a W 9 u M S 9 Q V i 9 Q c m 9 t b 3 R l Z C U y M E h l Y W R l c n M 8 L 0 l 0 Z W 1 Q Y X R o P j w v S X R l b U x v Y 2 F 0 a W 9 u P j x T d G F i b G V F b n R y a W V z I C 8 + P C 9 J d G V t P j x J d G V t P j x J d G V t T G 9 j Y X R p b 2 4 + P E l 0 Z W 1 U e X B l P k Z v c m 1 1 b G E 8 L 0 l 0 Z W 1 U e X B l P j x J d G V t U G F 0 a D 5 T Z W N 0 a W 9 u M S 9 Q V i 9 D a G F u Z 2 V k J T I w V H l w Z T w v S X R l b V B h d G g + P C 9 J d G V t T G 9 j Y X R p b 2 4 + P F N 0 Y W J s Z U V u d H J p Z X M g L z 4 8 L 0 l 0 Z W 0 + P E l 0 Z W 0 + P E l 0 Z W 1 M b 2 N h d G l v b j 4 8 S X R l b V R 5 c G U + R m 9 y b X V s Y T w v S X R l b V R 5 c G U + P E l 0 Z W 1 Q Y X R o P l N l Y 3 R p b 2 4 x L 1 R p b W J l c j w v S X R l b V B h d G g + P C 9 J d G V t T G 9 j Y X R p b 2 4 + P F N 0 Y W J s Z U V u d H J p Z X M + P E V u d H J 5 I F R 5 c G U 9 I k l z U H J p d m F 0 Z S I g V m F s d W U 9 I m w w I i A v P j x F b n R y e S B U e X B l P S J R d W V y e U l E I i B W Y W x 1 Z T 0 i c 2 M z Z D N i O G Q 0 L W Q 2 Z j c t N D F m N C 1 h M D Q 2 L W J m Z W V j Y T U 1 M j g w Z i 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R m l s b G V k Q 2 9 t c G x l d G V S Z X N 1 b H R U b 1 d v c m t z a G V l d C I g V m F s d W U 9 I m w w I i A v P j x F b n R y e S B U e X B l P S J B Z G R l Z F R v R G F 0 Y U 1 v Z G V s I i B W Y W x 1 Z T 0 i b D E i I C 8 + P E V u d H J 5 I F R 5 c G U 9 I k Z p b G x D b 3 V u d C I g V m F s d W U 9 I m w x O C I g L z 4 8 R W 5 0 c n k g V H l w Z T 0 i R m l s b E V y c m 9 y Q 2 9 k Z S I g V m F s d W U 9 I n N V b m t u b 3 d u I i A v P j x F b n R y e S B U e X B l P S J G a W x s R X J y b 3 J D b 3 V u d C I g V m F s d W U 9 I m w w I i A v P j x F b n R y e S B U e X B l P S J G a W x s T G F z d F V w Z G F 0 Z W Q i I F Z h b H V l P S J k M j A y N C 0 w N y 0 y O V Q w O D o 0 O D o 1 N C 4 1 N z c z N D g 2 W i I g L z 4 8 R W 5 0 c n k g V H l w Z T 0 i R m l s b E N v b H V t b l R 5 c G V z I i B W Y W x 1 Z T 0 i c 0 J n V U Z C Z z 0 9 I i A v P j x F b n R y e S B U e X B l P S J G a W x s Q 2 9 s d W 1 u T m F t Z X M i I F Z h b H V l P S J z W y Z x d W 9 0 O 1 R p b W J l c i B w Z X I g b T M m c X V v d D s s J n F 1 b 3 Q 7 U G 9 3 Z X I g c 2 F 3 b i Z x d W 9 0 O y w m c X V v d D t I Y W 5 k I H N h d 2 4 m c X V v d D s s J n F 1 b 3 Q 7 V W 5 p d C Z x d W 9 0 O 1 0 i I C 8 + P E V u d H J 5 I F R 5 c G U 9 I k Z p b G x T d G F 0 d X M i I F Z h b H V l P S J z Q 2 9 t c G x l d G U i I C 8 + P E V u d H J 5 I F R 5 c G U 9 I l J l b G F 0 a W 9 u c 2 h p c E l u Z m 9 D b 2 5 0 Y W l u Z X I i I F Z h b H V l P S J z e y Z x d W 9 0 O 2 N v b H V t b k N v d W 5 0 J n F 1 b 3 Q 7 O j Q s J n F 1 b 3 Q 7 a 2 V 5 Q 2 9 s d W 1 u T m F t Z X M m c X V v d D s 6 W 1 0 s J n F 1 b 3 Q 7 c X V l c n l S Z W x h d G l v b n N o a X B z J n F 1 b 3 Q 7 O l t d L C Z x d W 9 0 O 2 N v b H V t b k l k Z W 5 0 a X R p Z X M m c X V v d D s 6 W y Z x d W 9 0 O 1 N l Y 3 R p b 2 4 x L 1 R p b W J l c i 9 D a G F u Z 2 V k I F R 5 c G U u e 1 R p b W J l c i B w Z X I g b T M s M H 0 m c X V v d D s s J n F 1 b 3 Q 7 U 2 V j d G l v b j E v V G l t Y m V y L 0 N o Y W 5 n Z W Q g V H l w Z S 5 7 U G 9 3 Z X I g c 2 F 3 b i w x f S Z x d W 9 0 O y w m c X V v d D t T Z W N 0 a W 9 u M S 9 U a W 1 i Z X I v Q 2 h h b m d l Z C B U e X B l L n t I Y W 5 k I H N h d 2 4 s M n 0 m c X V v d D s s J n F 1 b 3 Q 7 U 2 V j d G l v b j E v V G l t Y m V y L 0 N o Y W 5 n Z W Q g V H l w Z S 5 7 V W 5 p d C w z f S Z x d W 9 0 O 1 0 s J n F 1 b 3 Q 7 Q 2 9 s d W 1 u Q 2 9 1 b n Q m c X V v d D s 6 N C w m c X V v d D t L Z X l D b 2 x 1 b W 5 O Y W 1 l c y Z x d W 9 0 O z p b X S w m c X V v d D t D b 2 x 1 b W 5 J Z G V u d G l 0 a W V z J n F 1 b 3 Q 7 O l s m c X V v d D t T Z W N 0 a W 9 u M S 9 U a W 1 i Z X I v Q 2 h h b m d l Z C B U e X B l L n t U a W 1 i Z X I g c G V y I G 0 z L D B 9 J n F 1 b 3 Q 7 L C Z x d W 9 0 O 1 N l Y 3 R p b 2 4 x L 1 R p b W J l c i 9 D a G F u Z 2 V k I F R 5 c G U u e 1 B v d 2 V y I H N h d 2 4 s M X 0 m c X V v d D s s J n F 1 b 3 Q 7 U 2 V j d G l v b j E v V G l t Y m V y L 0 N o Y W 5 n Z W Q g V H l w Z S 5 7 S G F u Z C B z Y X d u L D J 9 J n F 1 b 3 Q 7 L C Z x d W 9 0 O 1 N l Y 3 R p b 2 4 x L 1 R p b W J l c i 9 D a G F u Z 2 V k I F R 5 c G U u e 1 V u a X Q s M 3 0 m c X V v d D t d L C Z x d W 9 0 O 1 J l b G F 0 a W 9 u c 2 h p c E l u Z m 8 m c X V v d D s 6 W 1 1 9 I i A v P j w v U 3 R h Y m x l R W 5 0 c m l l c z 4 8 L 0 l 0 Z W 0 + P E l 0 Z W 0 + P E l 0 Z W 1 M b 2 N h d G l v b j 4 8 S X R l b V R 5 c G U + R m 9 y b X V s Y T w v S X R l b V R 5 c G U + P E l 0 Z W 1 Q Y X R o P l N l Y 3 R p b 2 4 x L 1 R p b W J l c i 9 T b 3 V y Y 2 U 8 L 0 l 0 Z W 1 Q Y X R o P j w v S X R l b U x v Y 2 F 0 a W 9 u P j x T d G F i b G V F b n R y a W V z I C 8 + P C 9 J d G V t P j x J d G V t P j x J d G V t T G 9 j Y X R p b 2 4 + P E l 0 Z W 1 U e X B l P k Z v c m 1 1 b G E 8 L 0 l 0 Z W 1 U e X B l P j x J d G V t U G F 0 a D 5 T Z W N 0 a W 9 u M S 9 U a W 1 i Z X I v V G l t Y m V y X 1 N o Z W V 0 P C 9 J d G V t U G F 0 a D 4 8 L 0 l 0 Z W 1 M b 2 N h d G l v b j 4 8 U 3 R h Y m x l R W 5 0 c m l l c y A v P j w v S X R l b T 4 8 S X R l b T 4 8 S X R l b U x v Y 2 F 0 a W 9 u P j x J d G V t V H l w Z T 5 G b 3 J t d W x h P C 9 J d G V t V H l w Z T 4 8 S X R l b V B h d G g + U 2 V j d G l v b j E v V G l t Y m V y L 1 B y b 2 1 v d G V k J T I w S G V h Z G V y c z w v S X R l b V B h d G g + P C 9 J d G V t T G 9 j Y X R p b 2 4 + P F N 0 Y W J s Z U V u d H J p Z X M g L z 4 8 L 0 l 0 Z W 0 + P E l 0 Z W 0 + P E l 0 Z W 1 M b 2 N h d G l v b j 4 8 S X R l b V R 5 c G U + R m 9 y b X V s Y T w v S X R l b V R 5 c G U + P E l 0 Z W 1 Q Y X R o P l N l Y 3 R p b 2 4 x L 1 R p b W J l c i 9 D a G F u Z 2 V k J T I w V H l w Z T w v S X R l b V B h d G g + P C 9 J d G V t T G 9 j Y X R p b 2 4 + P F N 0 Y W J s Z U V u d H J p Z X M g L z 4 8 L 0 l 0 Z W 0 + P E l 0 Z W 0 + P E l 0 Z W 1 M b 2 N h d G l v b j 4 8 S X R l b V R 5 c G U + R m 9 y b X V s Y T w v S X R l b V R 5 c G U + P E l 0 Z W 1 Q Y X R o P l N l Y 3 R p b 2 4 x L 1 R y Y W 5 z c G 9 y d D w v S X R l b V B h d G g + P C 9 J d G V t T G 9 j Y X R p b 2 4 + P F N 0 Y W J s Z U V u d H J p Z X M + P E V u d H J 5 I F R 5 c G U 9 I k l z U H J p d m F 0 Z S I g V m F s d W U 9 I m w w I i A v P j x F b n R y e S B U e X B l P S J R d W V y e U l E I i B W Y W x 1 Z T 0 i c 2 Z l M G U y N j U 2 L T Q 4 Y T U t N D M 1 N S 0 5 O T E 5 L W V k O G F m Z W Y 5 Z W E 2 N S 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R m l s b G V k Q 2 9 t c G x l d G V S Z X N 1 b H R U b 1 d v c m t z a G V l d C I g V m F s d W U 9 I m w w I i A v P j x F b n R y e S B U e X B l P S J B Z G R l Z F R v R G F 0 Y U 1 v Z G V s I i B W Y W x 1 Z T 0 i b D E i I C 8 + P E V u d H J 5 I F R 5 c G U 9 I k Z p b G x D b 3 V u d C I g V m F s d W U 9 I m w y M C I g L z 4 8 R W 5 0 c n k g V H l w Z T 0 i R m l s b E V y c m 9 y Q 2 9 k Z S I g V m F s d W U 9 I n N V b m t u b 3 d u I i A v P j x F b n R y e S B U e X B l P S J G a W x s R X J y b 3 J D b 3 V u d C I g V m F s d W U 9 I m w w I i A v P j x F b n R y e S B U e X B l P S J G a W x s T G F z d F V w Z G F 0 Z W Q i I F Z h b H V l P S J k M j A y N C 0 w N y 0 y O V Q w O D o 0 O D o 1 N C 4 1 O D I z M z E 5 W i I g L z 4 8 R W 5 0 c n k g V H l w Z T 0 i R m l s b E N v b H V t b l R 5 c G V z I i B W Y W x 1 Z T 0 i c 0 J n Q U Z C Z 0 F B Q U F B Q U F B Q U F B Q U F B Q U E 9 P S I g L z 4 8 R W 5 0 c n k g V H l w Z T 0 i R m l s b E N v b H V t b k 5 h b W V z I i B W Y W x 1 Z T 0 i c 1 s m c X V v d D t D b 2 x 1 b W 4 x J n F 1 b 3 Q 7 L C Z x d W 9 0 O 2 t n Q 0 8 y Z S 9 r Z y 5 r b S 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X S I g L z 4 8 R W 5 0 c n k g V H l w Z T 0 i R m l s b F N 0 Y X R 1 c y I g V m F s d W U 9 I n N D b 2 1 w b G V 0 Z S I g L z 4 8 R W 5 0 c n k g V H l w Z T 0 i U m V s Y X R p b 2 5 z a G l w S W 5 m b 0 N v b n R h a W 5 l c i I g V m F s d W U 9 I n N 7 J n F 1 b 3 Q 7 Y 2 9 s d W 1 u Q 2 9 1 b n Q m c X V v d D s 6 M T Y s J n F 1 b 3 Q 7 a 2 V 5 Q 2 9 s d W 1 u T m F t Z X M m c X V v d D s 6 W 1 0 s J n F 1 b 3 Q 7 c X V l c n l S Z W x h d G l v b n N o a X B z J n F 1 b 3 Q 7 O l t d L C Z x d W 9 0 O 2 N v b H V t b k l k Z W 5 0 a X R p Z X M m c X V v d D s 6 W y Z x d W 9 0 O 1 N l Y 3 R p b 2 4 x L 1 R y Y W 5 z c G 9 y d C 9 D a G F u Z 2 V k I F R 5 c G U u e 0 N v b H V t b j E s M H 0 m c X V v d D s s J n F 1 b 3 Q 7 U 2 V j d G l v b j E v V H J h b n N w b 3 J 0 L 0 N o Y W 5 n Z W Q g V H l w Z S 5 7 a 2 d D T z J l L 2 t n L m t t L D F 9 J n F 1 b 3 Q 7 L C Z x d W 9 0 O 1 N l Y 3 R p b 2 4 x L 1 R y Y W 5 z c G 9 y d C 9 D a G F u Z 2 V k I F R 5 c G U u e 0 N v b H V t b j M s M n 0 m c X V v d D s s J n F 1 b 3 Q 7 U 2 V j d G l v b j E v V H J h b n N w b 3 J 0 L 0 N o Y W 5 n Z W Q g V H l w Z S 5 7 Q 2 9 s d W 1 u N C w z f S Z x d W 9 0 O y w m c X V v d D t T Z W N 0 a W 9 u M S 9 U c m F u c 3 B v c n Q v Q 2 h h b m d l Z C B U e X B l L n t D b 2 x 1 b W 4 1 L D R 9 J n F 1 b 3 Q 7 L C Z x d W 9 0 O 1 N l Y 3 R p b 2 4 x L 1 R y Y W 5 z c G 9 y d C 9 D a G F u Z 2 V k I F R 5 c G U u e 0 N v b H V t b j Y s N X 0 m c X V v d D s s J n F 1 b 3 Q 7 U 2 V j d G l v b j E v V H J h b n N w b 3 J 0 L 0 N o Y W 5 n Z W Q g V H l w Z S 5 7 Q 2 9 s d W 1 u N y w 2 f S Z x d W 9 0 O y w m c X V v d D t T Z W N 0 a W 9 u M S 9 U c m F u c 3 B v c n Q v Q 2 h h b m d l Z C B U e X B l L n t D b 2 x 1 b W 4 4 L D d 9 J n F 1 b 3 Q 7 L C Z x d W 9 0 O 1 N l Y 3 R p b 2 4 x L 1 R y Y W 5 z c G 9 y d C 9 D a G F u Z 2 V k I F R 5 c G U u e 0 N v b H V t b j k s O H 0 m c X V v d D s s J n F 1 b 3 Q 7 U 2 V j d G l v b j E v V H J h b n N w b 3 J 0 L 0 N o Y W 5 n Z W Q g V H l w Z S 5 7 Q 2 9 s d W 1 u M T A s O X 0 m c X V v d D s s J n F 1 b 3 Q 7 U 2 V j d G l v b j E v V H J h b n N w b 3 J 0 L 0 N o Y W 5 n Z W Q g V H l w Z S 5 7 Q 2 9 s d W 1 u M T E s M T B 9 J n F 1 b 3 Q 7 L C Z x d W 9 0 O 1 N l Y 3 R p b 2 4 x L 1 R y Y W 5 z c G 9 y d C 9 D a G F u Z 2 V k I F R 5 c G U u e 0 N v b H V t b j E y L D E x f S Z x d W 9 0 O y w m c X V v d D t T Z W N 0 a W 9 u M S 9 U c m F u c 3 B v c n Q v Q 2 h h b m d l Z C B U e X B l L n t D b 2 x 1 b W 4 x M y w x M n 0 m c X V v d D s s J n F 1 b 3 Q 7 U 2 V j d G l v b j E v V H J h b n N w b 3 J 0 L 0 N o Y W 5 n Z W Q g V H l w Z S 5 7 Q 2 9 s d W 1 u M T Q s M T N 9 J n F 1 b 3 Q 7 L C Z x d W 9 0 O 1 N l Y 3 R p b 2 4 x L 1 R y Y W 5 z c G 9 y d C 9 D a G F u Z 2 V k I F R 5 c G U u e 0 N v b H V t b j E 1 L D E 0 f S Z x d W 9 0 O y w m c X V v d D t T Z W N 0 a W 9 u M S 9 U c m F u c 3 B v c n Q v Q 2 h h b m d l Z C B U e X B l L n t D b 2 x 1 b W 4 x N i w x N X 0 m c X V v d D t d L C Z x d W 9 0 O 0 N v b H V t b k N v d W 5 0 J n F 1 b 3 Q 7 O j E 2 L C Z x d W 9 0 O 0 t l e U N v b H V t b k 5 h b W V z J n F 1 b 3 Q 7 O l t d L C Z x d W 9 0 O 0 N v b H V t b k l k Z W 5 0 a X R p Z X M m c X V v d D s 6 W y Z x d W 9 0 O 1 N l Y 3 R p b 2 4 x L 1 R y Y W 5 z c G 9 y d C 9 D a G F u Z 2 V k I F R 5 c G U u e 0 N v b H V t b j E s M H 0 m c X V v d D s s J n F 1 b 3 Q 7 U 2 V j d G l v b j E v V H J h b n N w b 3 J 0 L 0 N o Y W 5 n Z W Q g V H l w Z S 5 7 a 2 d D T z J l L 2 t n L m t t L D F 9 J n F 1 b 3 Q 7 L C Z x d W 9 0 O 1 N l Y 3 R p b 2 4 x L 1 R y Y W 5 z c G 9 y d C 9 D a G F u Z 2 V k I F R 5 c G U u e 0 N v b H V t b j M s M n 0 m c X V v d D s s J n F 1 b 3 Q 7 U 2 V j d G l v b j E v V H J h b n N w b 3 J 0 L 0 N o Y W 5 n Z W Q g V H l w Z S 5 7 Q 2 9 s d W 1 u N C w z f S Z x d W 9 0 O y w m c X V v d D t T Z W N 0 a W 9 u M S 9 U c m F u c 3 B v c n Q v Q 2 h h b m d l Z C B U e X B l L n t D b 2 x 1 b W 4 1 L D R 9 J n F 1 b 3 Q 7 L C Z x d W 9 0 O 1 N l Y 3 R p b 2 4 x L 1 R y Y W 5 z c G 9 y d C 9 D a G F u Z 2 V k I F R 5 c G U u e 0 N v b H V t b j Y s N X 0 m c X V v d D s s J n F 1 b 3 Q 7 U 2 V j d G l v b j E v V H J h b n N w b 3 J 0 L 0 N o Y W 5 n Z W Q g V H l w Z S 5 7 Q 2 9 s d W 1 u N y w 2 f S Z x d W 9 0 O y w m c X V v d D t T Z W N 0 a W 9 u M S 9 U c m F u c 3 B v c n Q v Q 2 h h b m d l Z C B U e X B l L n t D b 2 x 1 b W 4 4 L D d 9 J n F 1 b 3 Q 7 L C Z x d W 9 0 O 1 N l Y 3 R p b 2 4 x L 1 R y Y W 5 z c G 9 y d C 9 D a G F u Z 2 V k I F R 5 c G U u e 0 N v b H V t b j k s O H 0 m c X V v d D s s J n F 1 b 3 Q 7 U 2 V j d G l v b j E v V H J h b n N w b 3 J 0 L 0 N o Y W 5 n Z W Q g V H l w Z S 5 7 Q 2 9 s d W 1 u M T A s O X 0 m c X V v d D s s J n F 1 b 3 Q 7 U 2 V j d G l v b j E v V H J h b n N w b 3 J 0 L 0 N o Y W 5 n Z W Q g V H l w Z S 5 7 Q 2 9 s d W 1 u M T E s M T B 9 J n F 1 b 3 Q 7 L C Z x d W 9 0 O 1 N l Y 3 R p b 2 4 x L 1 R y Y W 5 z c G 9 y d C 9 D a G F u Z 2 V k I F R 5 c G U u e 0 N v b H V t b j E y L D E x f S Z x d W 9 0 O y w m c X V v d D t T Z W N 0 a W 9 u M S 9 U c m F u c 3 B v c n Q v Q 2 h h b m d l Z C B U e X B l L n t D b 2 x 1 b W 4 x M y w x M n 0 m c X V v d D s s J n F 1 b 3 Q 7 U 2 V j d G l v b j E v V H J h b n N w b 3 J 0 L 0 N o Y W 5 n Z W Q g V H l w Z S 5 7 Q 2 9 s d W 1 u M T Q s M T N 9 J n F 1 b 3 Q 7 L C Z x d W 9 0 O 1 N l Y 3 R p b 2 4 x L 1 R y Y W 5 z c G 9 y d C 9 D a G F u Z 2 V k I F R 5 c G U u e 0 N v b H V t b j E 1 L D E 0 f S Z x d W 9 0 O y w m c X V v d D t T Z W N 0 a W 9 u M S 9 U c m F u c 3 B v c n Q v Q 2 h h b m d l Z C B U e X B l L n t D b 2 x 1 b W 4 x N i w x N X 0 m c X V v d D t d L C Z x d W 9 0 O 1 J l b G F 0 a W 9 u c 2 h p c E l u Z m 8 m c X V v d D s 6 W 1 1 9 I i A v P j w v U 3 R h Y m x l R W 5 0 c m l l c z 4 8 L 0 l 0 Z W 0 + P E l 0 Z W 0 + P E l 0 Z W 1 M b 2 N h d G l v b j 4 8 S X R l b V R 5 c G U + R m 9 y b X V s Y T w v S X R l b V R 5 c G U + P E l 0 Z W 1 Q Y X R o P l N l Y 3 R p b 2 4 x L 1 R y Y W 5 z c G 9 y d C 9 T b 3 V y Y 2 U 8 L 0 l 0 Z W 1 Q Y X R o P j w v S X R l b U x v Y 2 F 0 a W 9 u P j x T d G F i b G V F b n R y a W V z I C 8 + P C 9 J d G V t P j x J d G V t P j x J d G V t T G 9 j Y X R p b 2 4 + P E l 0 Z W 1 U e X B l P k Z v c m 1 1 b G E 8 L 0 l 0 Z W 1 U e X B l P j x J d G V t U G F 0 a D 5 T Z W N 0 a W 9 u M S 9 U c m F u c 3 B v c n Q v V H J h b n N w b 3 J 0 X 1 N o Z W V 0 P C 9 J d G V t U G F 0 a D 4 8 L 0 l 0 Z W 1 M b 2 N h d G l v b j 4 8 U 3 R h Y m x l R W 5 0 c m l l c y A v P j w v S X R l b T 4 8 S X R l b T 4 8 S X R l b U x v Y 2 F 0 a W 9 u P j x J d G V t V H l w Z T 5 G b 3 J t d W x h P C 9 J d G V t V H l w Z T 4 8 S X R l b V B h d G g + U 2 V j d G l v b j E v V H J h b n N w b 3 J 0 L 1 B y b 2 1 v d G V k J T I w S G V h Z G V y c z w v S X R l b V B h d G g + P C 9 J d G V t T G 9 j Y X R p b 2 4 + P F N 0 Y W J s Z U V u d H J p Z X M g L z 4 8 L 0 l 0 Z W 0 + P E l 0 Z W 0 + P E l 0 Z W 1 M b 2 N h d G l v b j 4 8 S X R l b V R 5 c G U + R m 9 y b X V s Y T w v S X R l b V R 5 c G U + P E l 0 Z W 1 Q Y X R o P l N l Y 3 R p b 2 4 x L 1 R y Y W 5 z c G 9 y d C 9 D a G F u Z 2 V k J T I w V H l w Z T w v S X R l b V B h d G g + P C 9 J d G V t T G 9 j Y X R p b 2 4 + P F N 0 Y W J s Z U V u d H J p Z X M g L z 4 8 L 0 l 0 Z W 0 + P E l 0 Z W 0 + P E l 0 Z W 1 M b 2 N h d G l v b j 4 8 S X R l b V R 5 c G U + R m 9 y b X V s Y T w v S X R l b V R 5 c G U + P E l 0 Z W 1 Q Y X R o P l N l Y 3 R p b 2 4 x L 1 Z h c G 9 1 c j w v S X R l b V B h d G g + P C 9 J d G V t T G 9 j Y X R p b 2 4 + P F N 0 Y W J s Z U V u d H J p Z X M + P E V u d H J 5 I F R 5 c G U 9 I k l z U H J p d m F 0 Z S I g V m F s d W U 9 I m w w I i A v P j x F b n R y e S B U e X B l P S J R d W V y e U l E I i B W Y W x 1 Z T 0 i c z g 4 N W Q 2 Y j Q 2 L W V l O W Q t N G Y x N S 0 5 M z h h L T Z l O D R k N j d i Y j I 1 N y 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R m l s b G V k Q 2 9 t c G x l d G V S Z X N 1 b H R U b 1 d v c m t z a G V l d C I g V m F s d W U 9 I m w w I i A v P j x F b n R y e S B U e X B l P S J B Z G R l Z F R v R G F 0 Y U 1 v Z G V s I i B W Y W x 1 Z T 0 i b D E i I C 8 + P E V u d H J 5 I F R 5 c G U 9 I k Z p b G x D b 3 V u d C I g V m F s d W U 9 I m w z O C I g L z 4 8 R W 5 0 c n k g V H l w Z T 0 i R m l s b E V y c m 9 y Q 2 9 k Z S I g V m F s d W U 9 I n N V b m t u b 3 d u I i A v P j x F b n R y e S B U e X B l P S J G a W x s R X J y b 3 J D b 3 V u d C I g V m F s d W U 9 I m w w I i A v P j x F b n R y e S B U e X B l P S J G a W x s T G F z d F V w Z G F 0 Z W Q i I F Z h b H V l P S J k M j A y N C 0 w N y 0 y O V Q w O D o 0 O D o 1 N C 4 1 O D g z M T E 4 W i I g L z 4 8 R W 5 0 c n k g V H l w Z T 0 i R m l s b E N v b H V t b l R 5 c G V z I i B W Y W x 1 Z T 0 i c 0 J n V U F C Z 0 F B Q U E 9 P S I g L z 4 8 R W 5 0 c n k g V H l w Z T 0 i R m l s b E N v b H V t b k 5 h b W V z I i B W Y W x 1 Z T 0 i c 1 s m c X V v d D t M R F B F I H B l c i B t a W N y b 2 4 s I G N h b G N 1 b G F 0 Z W Q g Z n J v b S A z M D A g b W l j c m 9 u c y Z x d W 9 0 O y w m c X V v d D t M R F B F J n F 1 b 3 Q 7 L C Z x d W 9 0 O 0 9 0 a G V y I C h u b 2 5 l K S Z x d W 9 0 O y w m c X V v d D t V b m l 0 J n F 1 b 3 Q 7 L C Z x d W 9 0 O 0 N v b H V t b j U m c X V v d D s s J n F 1 b 3 Q 7 Q 2 9 s d W 1 u N i Z x d W 9 0 O y w m c X V v d D t D b 2 x 1 b W 4 3 J n F 1 b 3 Q 7 X S I g L z 4 8 R W 5 0 c n k g V H l w Z T 0 i R m l s b F N 0 Y X R 1 c y I g V m F s d W U 9 I n N D b 2 1 w b G V 0 Z S I g L z 4 8 R W 5 0 c n k g V H l w Z T 0 i U m V s Y X R p b 2 5 z a G l w S W 5 m b 0 N v b n R h a W 5 l c i I g V m F s d W U 9 I n N 7 J n F 1 b 3 Q 7 Y 2 9 s d W 1 u Q 2 9 1 b n Q m c X V v d D s 6 N y w m c X V v d D t r Z X l D b 2 x 1 b W 5 O Y W 1 l c y Z x d W 9 0 O z p b X S w m c X V v d D t x d W V y e V J l b G F 0 a W 9 u c 2 h p c H M m c X V v d D s 6 W 1 0 s J n F 1 b 3 Q 7 Y 2 9 s d W 1 u S W R l b n R p d G l l c y Z x d W 9 0 O z p b J n F 1 b 3 Q 7 U 2 V j d G l v b j E v V m F w b 3 V y L 0 N o Y W 5 n Z W Q g V H l w Z S 5 7 T E R Q R S B w Z X I g b W l j c m 9 u L C B j Y W x j d W x h d G V k I G Z y b 2 0 g M z A w I G 1 p Y 3 J v b n M s M H 0 m c X V v d D s s J n F 1 b 3 Q 7 U 2 V j d G l v b j E v V m F w b 3 V y L 0 N o Y W 5 n Z W Q g V H l w Z S 5 7 T E R Q R S w x f S Z x d W 9 0 O y w m c X V v d D t T Z W N 0 a W 9 u M S 9 W Y X B v d X I v Q 2 h h b m d l Z C B U e X B l L n t P d G h l c i A o b m 9 u Z S k s M n 0 m c X V v d D s s J n F 1 b 3 Q 7 U 2 V j d G l v b j E v V m F w b 3 V y L 0 N o Y W 5 n Z W Q g V H l w Z S 5 7 V W 5 p d C w z f S Z x d W 9 0 O y w m c X V v d D t T Z W N 0 a W 9 u M S 9 W Y X B v d X I v Q 2 h h b m d l Z C B U e X B l L n t D b 2 x 1 b W 4 1 L D R 9 J n F 1 b 3 Q 7 L C Z x d W 9 0 O 1 N l Y 3 R p b 2 4 x L 1 Z h c G 9 1 c i 9 D a G F u Z 2 V k I F R 5 c G U u e 0 N v b H V t b j Y s N X 0 m c X V v d D s s J n F 1 b 3 Q 7 U 2 V j d G l v b j E v V m F w b 3 V y L 0 N o Y W 5 n Z W Q g V H l w Z S 5 7 Q 2 9 s d W 1 u N y w 2 f S Z x d W 9 0 O 1 0 s J n F 1 b 3 Q 7 Q 2 9 s d W 1 u Q 2 9 1 b n Q m c X V v d D s 6 N y w m c X V v d D t L Z X l D b 2 x 1 b W 5 O Y W 1 l c y Z x d W 9 0 O z p b X S w m c X V v d D t D b 2 x 1 b W 5 J Z G V u d G l 0 a W V z J n F 1 b 3 Q 7 O l s m c X V v d D t T Z W N 0 a W 9 u M S 9 W Y X B v d X I v Q 2 h h b m d l Z C B U e X B l L n t M R F B F I H B l c i B t a W N y b 2 4 s I G N h b G N 1 b G F 0 Z W Q g Z n J v b S A z M D A g b W l j c m 9 u c y w w f S Z x d W 9 0 O y w m c X V v d D t T Z W N 0 a W 9 u M S 9 W Y X B v d X I v Q 2 h h b m d l Z C B U e X B l L n t M R F B F L D F 9 J n F 1 b 3 Q 7 L C Z x d W 9 0 O 1 N l Y 3 R p b 2 4 x L 1 Z h c G 9 1 c i 9 D a G F u Z 2 V k I F R 5 c G U u e 0 9 0 a G V y I C h u b 2 5 l K S w y f S Z x d W 9 0 O y w m c X V v d D t T Z W N 0 a W 9 u M S 9 W Y X B v d X I v Q 2 h h b m d l Z C B U e X B l L n t V b m l 0 L D N 9 J n F 1 b 3 Q 7 L C Z x d W 9 0 O 1 N l Y 3 R p b 2 4 x L 1 Z h c G 9 1 c i 9 D a G F u Z 2 V k I F R 5 c G U u e 0 N v b H V t b j U s N H 0 m c X V v d D s s J n F 1 b 3 Q 7 U 2 V j d G l v b j E v V m F w b 3 V y L 0 N o Y W 5 n Z W Q g V H l w Z S 5 7 Q 2 9 s d W 1 u N i w 1 f S Z x d W 9 0 O y w m c X V v d D t T Z W N 0 a W 9 u M S 9 W Y X B v d X I v Q 2 h h b m d l Z C B U e X B l L n t D b 2 x 1 b W 4 3 L D Z 9 J n F 1 b 3 Q 7 X S w m c X V v d D t S Z W x h d G l v b n N o a X B J b m Z v J n F 1 b 3 Q 7 O l t d f S I g L z 4 8 L 1 N 0 Y W J s Z U V u d H J p Z X M + P C 9 J d G V t P j x J d G V t P j x J d G V t T G 9 j Y X R p b 2 4 + P E l 0 Z W 1 U e X B l P k Z v c m 1 1 b G E 8 L 0 l 0 Z W 1 U e X B l P j x J d G V t U G F 0 a D 5 T Z W N 0 a W 9 u M S 9 W Y X B v d X I v U 2 9 1 c m N l P C 9 J d G V t U G F 0 a D 4 8 L 0 l 0 Z W 1 M b 2 N h d G l v b j 4 8 U 3 R h Y m x l R W 5 0 c m l l c y A v P j w v S X R l b T 4 8 S X R l b T 4 8 S X R l b U x v Y 2 F 0 a W 9 u P j x J d G V t V H l w Z T 5 G b 3 J t d W x h P C 9 J d G V t V H l w Z T 4 8 S X R l b V B h d G g + U 2 V j d G l v b j E v V m F w b 3 V y L 1 Z h c G 9 1 c l 9 T a G V l d D w v S X R l b V B h d G g + P C 9 J d G V t T G 9 j Y X R p b 2 4 + P F N 0 Y W J s Z U V u d H J p Z X M g L z 4 8 L 0 l 0 Z W 0 + P E l 0 Z W 0 + P E l 0 Z W 1 M b 2 N h d G l v b j 4 8 S X R l b V R 5 c G U + R m 9 y b X V s Y T w v S X R l b V R 5 c G U + P E l 0 Z W 1 Q Y X R o P l N l Y 3 R p b 2 4 x L 1 Z h c G 9 1 c i 9 Q c m 9 t b 3 R l Z C U y M E h l Y W R l c n M 8 L 0 l 0 Z W 1 Q Y X R o P j w v S X R l b U x v Y 2 F 0 a W 9 u P j x T d G F i b G V F b n R y a W V z I C 8 + P C 9 J d G V t P j x J d G V t P j x J d G V t T G 9 j Y X R p b 2 4 + P E l 0 Z W 1 U e X B l P k Z v c m 1 1 b G E 8 L 0 l 0 Z W 1 U e X B l P j x J d G V t U G F 0 a D 5 T Z W N 0 a W 9 u M S 9 W Y X B v d X I v Q 2 h h b m d l Z C U y M F R 5 c G U 8 L 0 l 0 Z W 1 Q Y X R o P j w v S X R l b U x v Y 2 F 0 a W 9 u P j x T d G F i b G V F b n R y a W V z I C 8 + P C 9 J d G V t P j x J d G V t P j x J d G V t T G 9 j Y X R p b 2 4 + P E l 0 Z W 1 U e X B l P k Z v c m 1 1 b G E 8 L 0 l 0 Z W 1 U e X B l P j x J d G V t U G F 0 a D 5 T Z W N 0 a W 9 u M S 9 X Y X R l c i U y M H R h b m s 8 L 0 l 0 Z W 1 Q Y X R o P j w v S X R l b U x v Y 2 F 0 a W 9 u P j x T d G F i b G V F b n R y a W V z P j x F b n R y e S B U e X B l P S J J c 1 B y a X Z h d G U i I F Z h b H V l P S J s M C I g L z 4 8 R W 5 0 c n k g V H l w Z T 0 i U X V l c n l J R C I g V m F s d W U 9 I n M 2 Z D E z O G I 2 N i 1 j Y T M 4 L T R k O D E t Y j V l M S 0 z Z m F k M W M 2 Y T E 1 N D A i I C 8 + P E V u d H J 5 I F R 5 c G U 9 I k Z p b G x F b m F i b G V k I i B W Y W x 1 Z T 0 i b D A i I C 8 + P E V u d H J 5 I F R 5 c G U 9 I k Z p b G x P Y m p l Y 3 R U e X B l I i B W Y W x 1 Z T 0 i c 0 N v b m 5 l Y 3 R p b 2 5 P b m x 5 I i A v P j x F b n R y e S B U e X B l P S J G a W x s V G 9 E Y X R h T W 9 k Z W x F b m F i b G V k I i B W Y W x 1 Z T 0 i b D E i I C 8 + P E V u d H J 5 I F R 5 c G U 9 I k J 1 Z m Z l c k 5 l e H R S Z W Z y Z X N o I i B W Y W x 1 Z T 0 i b D E i I C 8 + P E V u d H J 5 I F R 5 c G U 9 I l J l c 3 V s d F R 5 c G U i I F Z h b H V l P S J z V G F i b G U i I C 8 + P E V u d H J 5 I F R 5 c G U 9 I k 5 h b W V V c G R h d G V k Q W Z 0 Z X J G a W x s I i B W Y W x 1 Z T 0 i b D A i I C 8 + P E V u d H J 5 I F R 5 c G U 9 I k Z p b G x l Z E N v b X B s Z X R l U m V z d W x 0 V G 9 X b 3 J r c 2 h l Z X Q i I F Z h b H V l P S J s M C I g L z 4 8 R W 5 0 c n k g V H l w Z T 0 i Q W R k Z W R U b 0 R h d G F N b 2 R l b C I g V m F s d W U 9 I m w x I i A v P j x F b n R y e S B U e X B l P S J G a W x s Q 2 9 1 b n Q i I F Z h b H V l P S J s M z Y i I C 8 + P E V u d H J 5 I F R 5 c G U 9 I k Z p b G x F c n J v c k N v Z G U i I F Z h b H V l P S J z V W 5 r b m 9 3 b i I g L z 4 8 R W 5 0 c n k g V H l w Z T 0 i R m l s b E V y c m 9 y Q 2 9 1 b n Q i I F Z h b H V l P S J s M C I g L z 4 8 R W 5 0 c n k g V H l w Z T 0 i R m l s b E x h c 3 R V c G R h d G V k I i B W Y W x 1 Z T 0 i Z D I w M j Q t M D c t M j l U M D g 6 N D g 6 N T Q u N j E 2 O T g 3 M F o i I C 8 + P E V u d H J 5 I F R 5 c G U 9 I k Z p b G x D b 2 x 1 b W 5 U e X B l c y I g V m F s d W U 9 I n N C Z 0 F B Q U F B R 0 F B Q U F C Z 0 E 9 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X S I g L z 4 8 R W 5 0 c n k g V H l w Z T 0 i R m l s b F N 0 Y X R 1 c y I g V m F s d W U 9 I n N D b 2 1 w b G V 0 Z S I g L z 4 8 R W 5 0 c n k g V H l w Z T 0 i U m V s Y X R p b 2 5 z a G l w S W 5 m b 0 N v b n R h a W 5 l c i I g V m F s d W U 9 I n N 7 J n F 1 b 3 Q 7 Y 2 9 s d W 1 u Q 2 9 1 b n Q m c X V v d D s 6 M T E s J n F 1 b 3 Q 7 a 2 V 5 Q 2 9 s d W 1 u T m F t Z X M m c X V v d D s 6 W 1 0 s J n F 1 b 3 Q 7 c X V l c n l S Z W x h d G l v b n N o a X B z J n F 1 b 3 Q 7 O l t d L C Z x d W 9 0 O 2 N v b H V t b k l k Z W 5 0 a X R p Z X M m c X V v d D s 6 W y Z x d W 9 0 O 1 N l Y 3 R p b 2 4 x L 1 d h d G V y I H R h b m s v Q 2 h h b m d l Z C B U e X B l L n t D b 2 x 1 b W 4 x L D B 9 J n F 1 b 3 Q 7 L C Z x d W 9 0 O 1 N l Y 3 R p b 2 4 x L 1 d h d G V y I H R h b m s v Q 2 h h b m d l Z C B U e X B l L n t D b 2 x 1 b W 4 y L D F 9 J n F 1 b 3 Q 7 L C Z x d W 9 0 O 1 N l Y 3 R p b 2 4 x L 1 d h d G V y I H R h b m s v Q 2 h h b m d l Z C B U e X B l L n t D b 2 x 1 b W 4 z L D J 9 J n F 1 b 3 Q 7 L C Z x d W 9 0 O 1 N l Y 3 R p b 2 4 x L 1 d h d G V y I H R h b m s v Q 2 h h b m d l Z C B U e X B l L n t D b 2 x 1 b W 4 0 L D N 9 J n F 1 b 3 Q 7 L C Z x d W 9 0 O 1 N l Y 3 R p b 2 4 x L 1 d h d G V y I H R h b m s v Q 2 h h b m d l Z C B U e X B l L n t D b 2 x 1 b W 4 1 L D R 9 J n F 1 b 3 Q 7 L C Z x d W 9 0 O 1 N l Y 3 R p b 2 4 x L 1 d h d G V y I H R h b m s v Q 2 h h b m d l Z C B U e X B l L n t D b 2 x 1 b W 4 2 L D V 9 J n F 1 b 3 Q 7 L C Z x d W 9 0 O 1 N l Y 3 R p b 2 4 x L 1 d h d G V y I H R h b m s v Q 2 h h b m d l Z C B U e X B l L n t D b 2 x 1 b W 4 3 L D Z 9 J n F 1 b 3 Q 7 L C Z x d W 9 0 O 1 N l Y 3 R p b 2 4 x L 1 d h d G V y I H R h b m s v Q 2 h h b m d l Z C B U e X B l L n t D b 2 x 1 b W 4 4 L D d 9 J n F 1 b 3 Q 7 L C Z x d W 9 0 O 1 N l Y 3 R p b 2 4 x L 1 d h d G V y I H R h b m s v Q 2 h h b m d l Z C B U e X B l L n t D b 2 x 1 b W 4 5 L D h 9 J n F 1 b 3 Q 7 L C Z x d W 9 0 O 1 N l Y 3 R p b 2 4 x L 1 d h d G V y I H R h b m s v Q 2 h h b m d l Z C B U e X B l L n t D b 2 x 1 b W 4 x M C w 5 f S Z x d W 9 0 O y w m c X V v d D t T Z W N 0 a W 9 u M S 9 X Y X R l c i B 0 Y W 5 r L 0 N o Y W 5 n Z W Q g V H l w Z S 5 7 Q 2 9 s d W 1 u M T E s M T B 9 J n F 1 b 3 Q 7 X S w m c X V v d D t D b 2 x 1 b W 5 D b 3 V u d C Z x d W 9 0 O z o x M S w m c X V v d D t L Z X l D b 2 x 1 b W 5 O Y W 1 l c y Z x d W 9 0 O z p b X S w m c X V v d D t D b 2 x 1 b W 5 J Z G V u d G l 0 a W V z J n F 1 b 3 Q 7 O l s m c X V v d D t T Z W N 0 a W 9 u M S 9 X Y X R l c i B 0 Y W 5 r L 0 N o Y W 5 n Z W Q g V H l w Z S 5 7 Q 2 9 s d W 1 u M S w w f S Z x d W 9 0 O y w m c X V v d D t T Z W N 0 a W 9 u M S 9 X Y X R l c i B 0 Y W 5 r L 0 N o Y W 5 n Z W Q g V H l w Z S 5 7 Q 2 9 s d W 1 u M i w x f S Z x d W 9 0 O y w m c X V v d D t T Z W N 0 a W 9 u M S 9 X Y X R l c i B 0 Y W 5 r L 0 N o Y W 5 n Z W Q g V H l w Z S 5 7 Q 2 9 s d W 1 u M y w y f S Z x d W 9 0 O y w m c X V v d D t T Z W N 0 a W 9 u M S 9 X Y X R l c i B 0 Y W 5 r L 0 N o Y W 5 n Z W Q g V H l w Z S 5 7 Q 2 9 s d W 1 u N C w z f S Z x d W 9 0 O y w m c X V v d D t T Z W N 0 a W 9 u M S 9 X Y X R l c i B 0 Y W 5 r L 0 N o Y W 5 n Z W Q g V H l w Z S 5 7 Q 2 9 s d W 1 u N S w 0 f S Z x d W 9 0 O y w m c X V v d D t T Z W N 0 a W 9 u M S 9 X Y X R l c i B 0 Y W 5 r L 0 N o Y W 5 n Z W Q g V H l w Z S 5 7 Q 2 9 s d W 1 u N i w 1 f S Z x d W 9 0 O y w m c X V v d D t T Z W N 0 a W 9 u M S 9 X Y X R l c i B 0 Y W 5 r L 0 N o Y W 5 n Z W Q g V H l w Z S 5 7 Q 2 9 s d W 1 u N y w 2 f S Z x d W 9 0 O y w m c X V v d D t T Z W N 0 a W 9 u M S 9 X Y X R l c i B 0 Y W 5 r L 0 N o Y W 5 n Z W Q g V H l w Z S 5 7 Q 2 9 s d W 1 u O C w 3 f S Z x d W 9 0 O y w m c X V v d D t T Z W N 0 a W 9 u M S 9 X Y X R l c i B 0 Y W 5 r L 0 N o Y W 5 n Z W Q g V H l w Z S 5 7 Q 2 9 s d W 1 u O S w 4 f S Z x d W 9 0 O y w m c X V v d D t T Z W N 0 a W 9 u M S 9 X Y X R l c i B 0 Y W 5 r L 0 N o Y W 5 n Z W Q g V H l w Z S 5 7 Q 2 9 s d W 1 u M T A s O X 0 m c X V v d D s s J n F 1 b 3 Q 7 U 2 V j d G l v b j E v V 2 F 0 Z X I g d G F u a y 9 D a G F u Z 2 V k I F R 5 c G U u e 0 N v b H V t b j E x L D E w f S Z x d W 9 0 O 1 0 s J n F 1 b 3 Q 7 U m V s Y X R p b 2 5 z a G l w S W 5 m b y Z x d W 9 0 O z p b X X 0 i I C 8 + P C 9 T d G F i b G V F b n R y a W V z P j w v S X R l b T 4 8 S X R l b T 4 8 S X R l b U x v Y 2 F 0 a W 9 u P j x J d G V t V H l w Z T 5 G b 3 J t d W x h P C 9 J d G V t V H l w Z T 4 8 S X R l b V B h d G g + U 2 V j d G l v b j E v V 2 F 0 Z X I l M j B 0 Y W 5 r L 1 N v d X J j Z T w v S X R l b V B h d G g + P C 9 J d G V t T G 9 j Y X R p b 2 4 + P F N 0 Y W J s Z U V u d H J p Z X M g L z 4 8 L 0 l 0 Z W 0 + P E l 0 Z W 0 + P E l 0 Z W 1 M b 2 N h d G l v b j 4 8 S X R l b V R 5 c G U + R m 9 y b X V s Y T w v S X R l b V R 5 c G U + P E l 0 Z W 1 Q Y X R o P l N l Y 3 R p b 2 4 x L 1 d h d G V y J T I w d G F u a y 9 X Y X R l c i U y M H R h b m t f U 2 h l Z X Q 8 L 0 l 0 Z W 1 Q Y X R o P j w v S X R l b U x v Y 2 F 0 a W 9 u P j x T d G F i b G V F b n R y a W V z I C 8 + P C 9 J d G V t P j x J d G V t P j x J d G V t T G 9 j Y X R p b 2 4 + P E l 0 Z W 1 U e X B l P k Z v c m 1 1 b G E 8 L 0 l 0 Z W 1 U e X B l P j x J d G V t U G F 0 a D 5 T Z W N 0 a W 9 u M S 9 X Y X R l c i U y M H R h b m s v Q 2 h h b m d l Z C U y M F R 5 c G U 8 L 0 l 0 Z W 1 Q Y X R o P j w v S X R l b U x v Y 2 F 0 a W 9 u P j x T d G F i b G V F b n R y a W V z I C 8 + P C 9 J d G V t P j x J d G V t P j x J d G V t T G 9 j Y X R p b 2 4 + P E l 0 Z W 1 U e X B l P k Z v c m 1 1 b G E 8 L 0 l 0 Z W 1 U e X B l P j x J d G V t U G F 0 a D 5 T Z W N 0 a W 9 u M S 9 D b 2 5 z d H J 1 Y 3 R p b 2 4 v Q 2 h h b m d l Z C U y M F R 5 c G U 8 L 0 l 0 Z W 1 Q Y X R o P j w v S X R l b U x v Y 2 F 0 a W 9 u P j x T d G F i b G V F b n R y a W V z I C 8 + P C 9 J d G V t P j x J d G V t P j x J d G V t T G 9 j Y X R p b 2 4 + P E l 0 Z W 1 U e X B l P k Z v c m 1 1 b G E 8 L 0 l 0 Z W 1 U e X B l P j x J d G V t U G F 0 a D 5 T Z W N 0 a W 9 u M S 9 C Y X R 0 Z X J p Z X M v U H J v b W 9 0 Z W Q l M j B I Z W F k Z X J z P C 9 J d G V t U G F 0 a D 4 8 L 0 l 0 Z W 1 M b 2 N h d G l v b j 4 8 U 3 R h Y m x l R W 5 0 c m l l c y A v P j w v S X R l b T 4 8 S X R l b T 4 8 S X R l b U x v Y 2 F 0 a W 9 u P j x J d G V t V H l w Z T 5 G b 3 J t d W x h P C 9 J d G V t V H l w Z T 4 8 S X R l b V B h d G g + U 2 V j d G l v b j E v Q m F 0 d G V y a W V z L 0 N o Y W 5 n Z W Q l M j B U e X B l P C 9 J d G V t U G F 0 a D 4 8 L 0 l 0 Z W 1 M b 2 N h d G l v b j 4 8 U 3 R h Y m x l R W 5 0 c m l l c y A v P j w v S X R l b T 4 8 L 0 l 0 Z W 1 z P j w v T G 9 j Y W x Q Y W N r Y W d l T W V 0 Y W R h d G F G a W x l P h Y A A A B Q S w U G A A A A A A A A A A A A A A A A A A A A A A A A 2 g A A A A E A A A D Q j J 3 f A R X R E Y x 6 A M B P w p f r A Q A A A E h 3 c I U G D + N F k K C U D B R U F Z Q A A A A A A g A A A A A A A 2 Y A A M A A A A A Q A A A A f W E k 5 F z 8 0 B C A 2 y C R z k 5 v Z Q A A A A A E g A A A o A A A A B A A A A C G + / p Y i T s K / O k l B t O p u b w U U A A A A M F k L B Z C 5 W U I Y 0 u c o Z V 0 7 C T 3 U m K v D w Q z y q f q W Q 7 R w d q k P f Z G z Q b x B 7 O S 0 h Z P u J V 4 a c s V f u D z c d U W Q 6 E J W I H v 4 u N t R I p O i M f k M L q d Q m 8 O C w 9 T F A A A A L w D c d x B A l h r t 4 c 8 l E L H M s V r w F o x < / D a t a M a s h u p > 
</file>

<file path=customXml/itemProps1.xml><?xml version="1.0" encoding="utf-8"?>
<ds:datastoreItem xmlns:ds="http://schemas.openxmlformats.org/officeDocument/2006/customXml" ds:itemID="{FB19A6E9-68A3-4A14-A00B-7BD366413BF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27</vt:i4>
      </vt:variant>
    </vt:vector>
  </HeadingPairs>
  <TitlesOfParts>
    <vt:vector size="27" baseType="lpstr">
      <vt:lpstr>READ ME</vt:lpstr>
      <vt:lpstr>1 Geographic Data</vt:lpstr>
      <vt:lpstr>2 Technical Input</vt:lpstr>
      <vt:lpstr>3 Cooling Curve</vt:lpstr>
      <vt:lpstr>3 LCA Input</vt:lpstr>
      <vt:lpstr>4 Technical Design Output</vt:lpstr>
      <vt:lpstr>4 LCA Output</vt:lpstr>
      <vt:lpstr>5 Weather Data</vt:lpstr>
      <vt:lpstr>Calculation Sheet</vt:lpstr>
      <vt:lpstr>LCA calcs</vt:lpstr>
      <vt:lpstr>6 LCA</vt:lpstr>
      <vt:lpstr>Transport</vt:lpstr>
      <vt:lpstr>Charcooler</vt:lpstr>
      <vt:lpstr>Doors</vt:lpstr>
      <vt:lpstr>Water tank</vt:lpstr>
      <vt:lpstr>Bamboo</vt:lpstr>
      <vt:lpstr>Biogenic</vt:lpstr>
      <vt:lpstr>Output</vt:lpstr>
      <vt:lpstr>Ecoboards</vt:lpstr>
      <vt:lpstr>Insulation</vt:lpstr>
      <vt:lpstr>Cooling</vt:lpstr>
      <vt:lpstr>PV</vt:lpstr>
      <vt:lpstr>Batteries</vt:lpstr>
      <vt:lpstr>Foundations</vt:lpstr>
      <vt:lpstr>Timber</vt:lpstr>
      <vt:lpstr>Vapour</vt:lpstr>
      <vt:lpstr>Translation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Victor Torres</dc:creator>
  <cp:lastModifiedBy>Victor Torres Toledo</cp:lastModifiedBy>
  <dcterms:created xsi:type="dcterms:W3CDTF">2019-02-21T20:08:43Z</dcterms:created>
  <dcterms:modified xsi:type="dcterms:W3CDTF">2025-05-21T14:57:23Z</dcterms:modified>
</cp:coreProperties>
</file>